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chartsheet+xml" PartName="/xl/chartsheets/sheet2.xml"/>
  <Override ContentType="application/vnd.openxmlformats-officedocument.spreadsheetml.chartsheet+xml" PartName="/xl/chartsheets/sheet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xecutive Summary" sheetId="2" r:id="rId5"/>
    <sheet state="visible" name="1) - Data Entry" sheetId="3" r:id="rId6"/>
    <sheet state="hidden" name="1.1) Distribution Data" sheetId="4" r:id="rId7"/>
    <sheet state="visible" name="2) Salary Distribution Chart" sheetId="5" r:id="rId8"/>
    <sheet state="visible" name="2.1) Salary Dist. Chart Usage" sheetId="6" r:id="rId9"/>
    <sheet state="visible" name="3) Salaries by Group and Gender" sheetId="7" r:id="rId10"/>
    <sheet state="visible" name="3.1) Salary Grouping Usage" sheetId="8" r:id="rId11"/>
    <sheet state="visible" name="4) Summary Tables" sheetId="9" r:id="rId12"/>
    <sheet state="visible" name="5) Pivot Table" sheetId="10" r:id="rId13"/>
  </sheets>
  <definedNames>
    <definedName name="salary">'1) - Data Entry'!$B$8:$B$30</definedName>
  </definedNames>
  <calcPr/>
  <pivotCaches>
    <pivotCache cacheId="0" r:id="rId14"/>
  </pivotCaches>
</workbook>
</file>

<file path=xl/sharedStrings.xml><?xml version="1.0" encoding="utf-8"?>
<sst xmlns="http://schemas.openxmlformats.org/spreadsheetml/2006/main" count="188" uniqueCount="109">
  <si>
    <t>GENDER DIVERSITY REPORTING TEMPLATE</t>
  </si>
  <si>
    <t>INSTRUCTIONS FOR USE</t>
  </si>
  <si>
    <t>[Insert Company Name Here]</t>
  </si>
  <si>
    <t xml:space="preserve">Gender Diversity </t>
  </si>
  <si>
    <t>Executive Summary</t>
  </si>
  <si>
    <t>- Complete the highlighted columns on Tab 1 - Data Entry (Position, Annual Salary, Gender, and Group)</t>
  </si>
  <si>
    <t>- Summarize the data analysis and Actionable Items sections below</t>
  </si>
  <si>
    <t>- Data will auto populate charts in tabs 2 and 3, and tables in tabs 4 and 5</t>
  </si>
  <si>
    <t>[Mock Data]
The company's hiring practices promote gender diversity as evidenced by a near 50/50 split in headcount, however the composition of the organization is top heavy with male employees, and there are significant pay gaps between males and females at the Director, VP and Executive Levels that require attention.
Based on the results of this review, the company will continue to promote equal and diverse hiring practices, but plans to do a top down executive compensation review and will adjust material salary discrepancies by the end of Q1 XXXX</t>
  </si>
  <si>
    <t>- Review and analyze the automated data outputs in tabs 2 - 5 to complete the Executive Summary Tab</t>
  </si>
  <si>
    <t>Manual Data Entry Required</t>
  </si>
  <si>
    <t>- Automated outputs have been locked to prevent formula edits</t>
  </si>
  <si>
    <t>Automated formula - do not edit</t>
  </si>
  <si>
    <t>Employee Payroll and Classification Detail - Data Entry Tab</t>
  </si>
  <si>
    <t>Gender Classifications</t>
  </si>
  <si>
    <t>Manual Data Entry Fields</t>
  </si>
  <si>
    <t xml:space="preserve">It is important to refer to an employee by their chosen name and personal pronoun that matches their gender identity and expression. An employee may provide information regarding a legal name or sex designation change or may provide related health information. This information is confidential and should be protected in the same way as other personal information the employer holds with respect to employees. This information should only be disclosed on a need-to-know basis.
</t>
  </si>
  <si>
    <t>Automated</t>
  </si>
  <si>
    <t>M</t>
  </si>
  <si>
    <t>Data Analysis</t>
  </si>
  <si>
    <t>- Analyze data produced on Tabs 2 to 5 to identify areas where the company is performing well and requires improvement with respect to workplace gender pay equality.  
- Include analysis of potential outliers or reasonings for disparity</t>
  </si>
  <si>
    <t xml:space="preserve"> </t>
  </si>
  <si>
    <t>Male</t>
  </si>
  <si>
    <t>Position [insert title here]</t>
  </si>
  <si>
    <t>Annual Salary</t>
  </si>
  <si>
    <t>Gender</t>
  </si>
  <si>
    <t>Group ID</t>
  </si>
  <si>
    <t>Group Name</t>
  </si>
  <si>
    <t>Actionable Items / Next Steps</t>
  </si>
  <si>
    <t>- Outline the next steps that the company plans to take over the next year to rectify identified gender inequality. 
- If no issues identified, outline the company's plans to ensure continued compliance with the Gender Pledge</t>
  </si>
  <si>
    <t>Female</t>
  </si>
  <si>
    <t>Transgender / Gender Variant</t>
  </si>
  <si>
    <t>F</t>
  </si>
  <si>
    <t>CEO</t>
  </si>
  <si>
    <t>TG / GV</t>
  </si>
  <si>
    <t>Employee Grouping Classifications</t>
  </si>
  <si>
    <t>Please note that these grouping classifications are meant to combine and analyze data for employees of similar levels within the organization, and is limited to no more than five grouping classifications. The existing Employee Grouping Equivalency terms can be renamed to fit your organizations terminology, but should be done so in ascending order within the company (least senior employees to highest ranking executives).
If you wish to further stratify data beyond 5 groups, you may make a separate copy of this document (e.g. for analyzing groupings/positions within a specific department).</t>
  </si>
  <si>
    <t>Number ID</t>
  </si>
  <si>
    <t>Employee Grouping Equivalencies</t>
  </si>
  <si>
    <t>Other</t>
  </si>
  <si>
    <t>Manager</t>
  </si>
  <si>
    <t>Salary</t>
  </si>
  <si>
    <t>ALL</t>
  </si>
  <si>
    <t>T / GV</t>
  </si>
  <si>
    <t>All</t>
  </si>
  <si>
    <t>Director</t>
  </si>
  <si>
    <t>VP</t>
  </si>
  <si>
    <t>Executive / C-Suite</t>
  </si>
  <si>
    <t>Mean</t>
  </si>
  <si>
    <t>C-Suite B</t>
  </si>
  <si>
    <t>Median</t>
  </si>
  <si>
    <t>C-Suite A</t>
  </si>
  <si>
    <t>Mode</t>
  </si>
  <si>
    <t>VP C</t>
  </si>
  <si>
    <t>Standard Deviation</t>
  </si>
  <si>
    <t>VP B</t>
  </si>
  <si>
    <t>VP A</t>
  </si>
  <si>
    <t>Director D</t>
  </si>
  <si>
    <t>Director C</t>
  </si>
  <si>
    <t>Director B</t>
  </si>
  <si>
    <t>Non-Bonary</t>
  </si>
  <si>
    <t>Director A</t>
  </si>
  <si>
    <t>Director X</t>
  </si>
  <si>
    <t>Manager D</t>
  </si>
  <si>
    <t>Manager C</t>
  </si>
  <si>
    <t>Manager B</t>
  </si>
  <si>
    <t>Manager A</t>
  </si>
  <si>
    <t>Employee H</t>
  </si>
  <si>
    <t>Employee G</t>
  </si>
  <si>
    <t>Employee F</t>
  </si>
  <si>
    <t>Employee E</t>
  </si>
  <si>
    <t>Employee D</t>
  </si>
  <si>
    <t>Employee C</t>
  </si>
  <si>
    <t>Employee B</t>
  </si>
  <si>
    <t xml:space="preserve">TO ADD EMPLOYEES:
- Copy and paste one of the above rows into this table, and edit data as required
TO REMOVE EMPLOYEES:
- Delete any unused rows
</t>
  </si>
  <si>
    <r>
      <t xml:space="preserve">Tab 2 - Salary Distribution by Gender Identification
</t>
    </r>
    <r>
      <rPr/>
      <t xml:space="preserve">
The purpose of this graph is to illustrate the normalized distribution of salaries per gender in the company. The peak of each bell curve illustrates the average salary for each gender group. These individual curves can be compared to the curve that combines all groups in aggregate. This provides a high level, visual overview of how average salaries for each group compare to each other and the company as a whole. This chart should be utilized, along with additional graphical and tabular information outputs in tabs 3-5 to guide your gender equality analysis.
</t>
    </r>
    <r>
      <t>How to Interpret:</t>
    </r>
    <r>
      <rPr/>
      <t xml:space="preserve">
A gender group bell curves that differs significantly from the "All" curve (i.e. heights of the peaks) indicates a potential source of pay inequality. </t>
    </r>
  </si>
  <si>
    <r>
      <t xml:space="preserve">Tab 3 - Salaries by Group and Gender
</t>
    </r>
    <r>
      <rPr/>
      <t xml:space="preserve">This graph plots individual data points for each employee in your company (as input in Tab 1), according to their reported Gender Identification (colour), Employee Grouping (horizontal axis), and Salary (vertical axis).
</t>
    </r>
    <r>
      <t xml:space="preserve">How to Interpret:
- Pay gaps (spacing between data points): </t>
    </r>
    <r>
      <rPr/>
      <t xml:space="preserve">If certain gender IDs feature more prominently higher/lower along the salary axis than other gender IDs, it may be indicative of pay gaps between genders. 
</t>
    </r>
    <r>
      <t>-</t>
    </r>
    <r>
      <rPr/>
      <t xml:space="preserve"> </t>
    </r>
    <r>
      <t>Gender composition within each grouping (quantity of data points):</t>
    </r>
    <r>
      <rPr/>
      <t xml:space="preserve"> If certain gender IDs (colours) are featured more/less prominently within certain group IDs, it may be indicative of gender inequality in a level of the organization.</t>
    </r>
  </si>
  <si>
    <t>Summary Tables</t>
  </si>
  <si>
    <t>GENDER COMPOSITION</t>
  </si>
  <si>
    <t>To help identify headcount gender disparity levels at the corporate level</t>
  </si>
  <si>
    <t>Gender Diversity Reporting</t>
  </si>
  <si>
    <t>Gender Classification</t>
  </si>
  <si>
    <t>Pivot Table</t>
  </si>
  <si>
    <t>Headcount</t>
  </si>
  <si>
    <t>Composition</t>
  </si>
  <si>
    <t>PURPOSE</t>
  </si>
  <si>
    <t xml:space="preserve">This pivot table has been created to allow for users see the details of particular criteria by double clicking on the cell in question. Criteria and filters may be added and removed at the user's discretion. </t>
  </si>
  <si>
    <t>Total</t>
  </si>
  <si>
    <t>GENDER COMPOSITION PER EMPLOYEE GROUPING EQUIVALENCY</t>
  </si>
  <si>
    <t>Gender composition per Employee Grouping. Useful to identify potential gender discrepancies at various levels within the company</t>
  </si>
  <si>
    <t>Headcount per Group</t>
  </si>
  <si>
    <t>% of Gender Composition Per Group</t>
  </si>
  <si>
    <t>COUNT of Annual Salary</t>
  </si>
  <si>
    <t>AVERAGE of Annual Salary</t>
  </si>
  <si>
    <t>MIN of Annual Salary</t>
  </si>
  <si>
    <t>MEDIAN of Annual Salary</t>
  </si>
  <si>
    <t>MAX of Annual Salary</t>
  </si>
  <si>
    <t>SUM of Annual Salary</t>
  </si>
  <si>
    <t>1 Total</t>
  </si>
  <si>
    <t>2 Total</t>
  </si>
  <si>
    <t>3 Total</t>
  </si>
  <si>
    <t>Total per Employee Group</t>
  </si>
  <si>
    <t>4 Total</t>
  </si>
  <si>
    <t>5 Total</t>
  </si>
  <si>
    <t>Grand Total</t>
  </si>
  <si>
    <t>SALARY METRICS BY GENDER AND EMPLOYEE GROUPING EQUIVALENCY</t>
  </si>
  <si>
    <t>To help identify potential gender pay discrepancies within the company at the grouping level. Compare average salary per gender grouping to average salaries of the company as a whole (per group) to identify gap</t>
  </si>
  <si>
    <t>Note: A "#DIV/0" error will appear in the event of no employees meeting a particular criteria</t>
  </si>
  <si>
    <t>Average Salary - Employee Group</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</si>
</sst>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_(&quot;$&quot;* #,##0_);_(&quot;$&quot;* \(#,##0\);_(&quot;$&quot;* &quot;-&quot;??_);_(@_)"/>
    <numFmt numFmtId="166" formatCode="&quot;$&quot;#,##0.00"/>
    <numFmt numFmtId="167" formatCode="_(&quot;$&quot;* #,##0.00_);_(&quot;$&quot;* \(#,##0.00\);_(&quot;$&quot;* &quot;-&quot;??_);_(@_)"/>
  </numFmts>
  <fonts count="17">
    <font>
      <sz val="10.0"/>
      <color rgb="FF000000"/>
      <name val="Arial"/>
    </font>
    <font>
      <b/>
      <sz val="11.0"/>
      <color rgb="FF000000"/>
      <name val="Arial"/>
    </font>
    <font>
      <color theme="1"/>
      <name val="Arial"/>
    </font>
    <font>
      <color rgb="FF000000"/>
      <name val="Arial"/>
    </font>
    <font>
      <sz val="12.0"/>
      <color theme="1"/>
      <name val="Arial"/>
    </font>
    <font>
      <b/>
      <i/>
      <sz val="11.0"/>
      <color rgb="FF000000"/>
      <name val="Arial"/>
    </font>
    <font>
      <sz val="12.0"/>
      <color rgb="FF000000"/>
      <name val="Arial"/>
    </font>
    <font>
      <i/>
      <sz val="11.0"/>
      <color theme="1"/>
      <name val="Arial"/>
    </font>
    <font/>
    <font>
      <b/>
      <color theme="1"/>
      <name val="Arial"/>
    </font>
    <font>
      <sz val="11.0"/>
      <color theme="1"/>
      <name val="Arial"/>
    </font>
    <font>
      <b/>
      <i/>
      <sz val="11.0"/>
      <color theme="1"/>
      <name val="Arial"/>
    </font>
    <font>
      <b/>
      <sz val="11.0"/>
      <color rgb="FFFFFFFF"/>
      <name val="Arial"/>
    </font>
    <font>
      <sz val="11.0"/>
      <color rgb="FF000000"/>
      <name val="Arial"/>
    </font>
    <font>
      <b/>
      <sz val="14.0"/>
      <color rgb="FF434343"/>
      <name val="Arial"/>
    </font>
    <font>
      <b/>
      <sz val="12.0"/>
      <color theme="1"/>
      <name val="Arial"/>
    </font>
    <font>
      <i/>
      <color theme="1"/>
      <name val="Arial"/>
    </font>
  </fonts>
  <fills count="11">
    <fill>
      <patternFill patternType="none"/>
    </fill>
    <fill>
      <patternFill patternType="lightGray"/>
    </fill>
    <fill>
      <patternFill patternType="solid">
        <fgColor rgb="FFFFFFFF"/>
        <bgColor rgb="FFFFFFFF"/>
      </patternFill>
    </fill>
    <fill>
      <patternFill patternType="solid">
        <fgColor rgb="FFFCE5CD"/>
        <bgColor rgb="FFFCE5CD"/>
      </patternFill>
    </fill>
    <fill>
      <patternFill patternType="solid">
        <fgColor rgb="FFEFEFEF"/>
        <bgColor rgb="FFEFEFEF"/>
      </patternFill>
    </fill>
    <fill>
      <patternFill patternType="solid">
        <fgColor rgb="FFF3F3F3"/>
        <bgColor rgb="FFF3F3F3"/>
      </patternFill>
    </fill>
    <fill>
      <patternFill patternType="solid">
        <fgColor rgb="FFC9DAF8"/>
        <bgColor rgb="FFC9DAF8"/>
      </patternFill>
    </fill>
    <fill>
      <patternFill patternType="solid">
        <fgColor rgb="FFFFF2CC"/>
        <bgColor rgb="FFFFF2CC"/>
      </patternFill>
    </fill>
    <fill>
      <patternFill patternType="solid">
        <fgColor rgb="FF434343"/>
        <bgColor rgb="FF434343"/>
      </patternFill>
    </fill>
    <fill>
      <patternFill patternType="solid">
        <fgColor rgb="FFCFE2F3"/>
        <bgColor rgb="FFCFE2F3"/>
      </patternFill>
    </fill>
    <fill>
      <patternFill patternType="solid">
        <fgColor theme="0"/>
        <bgColor theme="0"/>
      </patternFill>
    </fill>
  </fills>
  <borders count="15">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0" fillId="2" fontId="1" numFmtId="0" xfId="0" applyAlignment="1" applyFill="1" applyFont="1">
      <alignment readingOrder="0"/>
    </xf>
    <xf borderId="0" fillId="0" fontId="2" numFmtId="0" xfId="0" applyFont="1"/>
    <xf borderId="0" fillId="0" fontId="1" numFmtId="164" xfId="0" applyAlignment="1" applyFont="1" applyNumberFormat="1">
      <alignment readingOrder="0" vertical="bottom"/>
    </xf>
    <xf borderId="0" fillId="0" fontId="2" numFmtId="0" xfId="0" applyAlignment="1" applyFont="1">
      <alignment readingOrder="0" vertical="top"/>
    </xf>
    <xf borderId="0" fillId="0" fontId="3" numFmtId="165" xfId="0" applyAlignment="1" applyFont="1" applyNumberFormat="1">
      <alignment horizontal="right" readingOrder="0" vertical="bottom"/>
    </xf>
    <xf borderId="0" fillId="2" fontId="1" numFmtId="0" xfId="0" applyAlignment="1" applyFont="1">
      <alignment horizontal="left" readingOrder="0"/>
    </xf>
    <xf borderId="0" fillId="0" fontId="4" numFmtId="0" xfId="0" applyAlignment="1" applyFont="1">
      <alignment readingOrder="0" vertical="top"/>
    </xf>
    <xf borderId="0" fillId="2" fontId="5" numFmtId="0" xfId="0" applyAlignment="1" applyFont="1">
      <alignment horizontal="left" readingOrder="0"/>
    </xf>
    <xf borderId="0" fillId="2" fontId="6" numFmtId="0" xfId="0" applyAlignment="1" applyFont="1">
      <alignment readingOrder="0"/>
    </xf>
    <xf borderId="0" fillId="0" fontId="2" numFmtId="0" xfId="0" applyAlignment="1" applyFont="1">
      <alignment readingOrder="0"/>
    </xf>
    <xf borderId="1" fillId="3" fontId="2" numFmtId="0" xfId="0" applyAlignment="1" applyBorder="1" applyFill="1" applyFont="1">
      <alignment readingOrder="0"/>
    </xf>
    <xf borderId="2" fillId="0" fontId="7" numFmtId="0" xfId="0" applyAlignment="1" applyBorder="1" applyFont="1">
      <alignment readingOrder="0" shrinkToFit="0" vertical="top" wrapText="1"/>
    </xf>
    <xf borderId="1" fillId="4" fontId="2" numFmtId="0" xfId="0" applyAlignment="1" applyBorder="1" applyFill="1" applyFont="1">
      <alignment readingOrder="0"/>
    </xf>
    <xf borderId="3" fillId="0" fontId="8" numFmtId="0" xfId="0" applyBorder="1" applyFont="1"/>
    <xf borderId="0" fillId="0" fontId="2" numFmtId="0" xfId="0" applyFont="1"/>
    <xf borderId="4" fillId="0" fontId="8" numFmtId="0" xfId="0" applyBorder="1" applyFont="1"/>
    <xf borderId="0" fillId="0" fontId="9" numFmtId="0" xfId="0" applyAlignment="1" applyFont="1">
      <alignment horizontal="center" readingOrder="0"/>
    </xf>
    <xf borderId="5" fillId="0" fontId="8" numFmtId="0" xfId="0" applyBorder="1" applyFont="1"/>
    <xf borderId="0" fillId="0" fontId="5" numFmtId="164" xfId="0" applyAlignment="1" applyFont="1" applyNumberFormat="1">
      <alignment horizontal="center" readingOrder="0" vertical="bottom"/>
    </xf>
    <xf borderId="6" fillId="0" fontId="8" numFmtId="0" xfId="0" applyBorder="1" applyFont="1"/>
    <xf borderId="7" fillId="5" fontId="9" numFmtId="0" xfId="0" applyAlignment="1" applyBorder="1" applyFill="1" applyFont="1">
      <alignment horizontal="center" readingOrder="0"/>
    </xf>
    <xf borderId="7" fillId="6" fontId="5" numFmtId="164" xfId="0" applyAlignment="1" applyBorder="1" applyFill="1" applyFont="1" applyNumberFormat="1">
      <alignment horizontal="center" readingOrder="0" vertical="bottom"/>
    </xf>
    <xf borderId="8" fillId="0" fontId="8" numFmtId="0" xfId="0" applyBorder="1" applyFont="1"/>
    <xf borderId="9" fillId="0" fontId="8" numFmtId="0" xfId="0" applyBorder="1" applyFont="1"/>
    <xf borderId="10" fillId="0" fontId="8" numFmtId="0" xfId="0" applyBorder="1" applyFont="1"/>
    <xf borderId="2" fillId="7" fontId="10" numFmtId="0" xfId="0" applyAlignment="1" applyBorder="1" applyFill="1" applyFont="1">
      <alignment readingOrder="0" shrinkToFit="0" vertical="top" wrapText="1"/>
    </xf>
    <xf borderId="11" fillId="0" fontId="8" numFmtId="0" xfId="0" applyBorder="1" applyFont="1"/>
    <xf borderId="12" fillId="0" fontId="8" numFmtId="0" xfId="0" applyBorder="1" applyFont="1"/>
    <xf borderId="1" fillId="0" fontId="2" numFmtId="0" xfId="0" applyAlignment="1" applyBorder="1" applyFont="1">
      <alignment horizontal="center"/>
    </xf>
    <xf borderId="0" fillId="0" fontId="9" numFmtId="0" xfId="0" applyAlignment="1" applyFont="1">
      <alignment readingOrder="0" shrinkToFit="0" vertical="top" wrapText="1"/>
    </xf>
    <xf borderId="7" fillId="6" fontId="11" numFmtId="0" xfId="0" applyAlignment="1" applyBorder="1" applyFont="1">
      <alignment horizontal="center" readingOrder="0"/>
    </xf>
    <xf borderId="0" fillId="8" fontId="12" numFmtId="164" xfId="0" applyAlignment="1" applyFill="1" applyFont="1" applyNumberFormat="1">
      <alignment readingOrder="0" vertical="bottom"/>
    </xf>
    <xf borderId="1" fillId="0" fontId="2" numFmtId="0" xfId="0" applyAlignment="1" applyBorder="1" applyFont="1">
      <alignment readingOrder="0"/>
    </xf>
    <xf borderId="5" fillId="8" fontId="12" numFmtId="164" xfId="0" applyAlignment="1" applyBorder="1" applyFont="1" applyNumberFormat="1">
      <alignment readingOrder="0" vertical="bottom"/>
    </xf>
    <xf borderId="6" fillId="8" fontId="12" numFmtId="164" xfId="0" applyAlignment="1" applyBorder="1" applyFont="1" applyNumberFormat="1">
      <alignment readingOrder="0" vertical="bottom"/>
    </xf>
    <xf borderId="0" fillId="3" fontId="13" numFmtId="164" xfId="0" applyAlignment="1" applyFont="1" applyNumberFormat="1">
      <alignment readingOrder="0" vertical="bottom"/>
    </xf>
    <xf borderId="1" fillId="5" fontId="9" numFmtId="0" xfId="0" applyAlignment="1" applyBorder="1" applyFont="1">
      <alignment horizontal="center" readingOrder="0"/>
    </xf>
    <xf borderId="0" fillId="3" fontId="3" numFmtId="165" xfId="0" applyAlignment="1" applyFont="1" applyNumberFormat="1">
      <alignment horizontal="right" readingOrder="0" vertical="bottom"/>
    </xf>
    <xf borderId="1" fillId="5" fontId="9" numFmtId="0" xfId="0" applyAlignment="1" applyBorder="1" applyFont="1">
      <alignment readingOrder="0"/>
    </xf>
    <xf borderId="0" fillId="3" fontId="2" numFmtId="0" xfId="0" applyAlignment="1" applyFont="1">
      <alignment horizontal="center" readingOrder="0"/>
    </xf>
    <xf borderId="1" fillId="0" fontId="2" numFmtId="0" xfId="0" applyAlignment="1" applyBorder="1" applyFont="1">
      <alignment horizontal="center" readingOrder="0"/>
    </xf>
    <xf borderId="0" fillId="3" fontId="3" numFmtId="0" xfId="0" applyAlignment="1" applyFont="1">
      <alignment horizontal="center" readingOrder="0" vertical="bottom"/>
    </xf>
    <xf borderId="0" fillId="0" fontId="9" numFmtId="0" xfId="0" applyAlignment="1" applyFont="1">
      <alignment readingOrder="0"/>
    </xf>
    <xf borderId="0" fillId="0" fontId="2" numFmtId="166" xfId="0" applyAlignment="1" applyFont="1" applyNumberFormat="1">
      <alignment readingOrder="0"/>
    </xf>
    <xf borderId="5" fillId="4" fontId="2" numFmtId="0" xfId="0" applyBorder="1" applyFont="1"/>
    <xf borderId="0" fillId="4" fontId="2" numFmtId="165" xfId="0" applyFont="1" applyNumberFormat="1"/>
    <xf borderId="0" fillId="4" fontId="2" numFmtId="0" xfId="0" applyFont="1"/>
    <xf borderId="0" fillId="0" fontId="2" numFmtId="165" xfId="0" applyFont="1" applyNumberFormat="1"/>
    <xf borderId="0" fillId="0" fontId="2" numFmtId="166" xfId="0" applyFont="1" applyNumberFormat="1"/>
    <xf borderId="6" fillId="4" fontId="2" numFmtId="0" xfId="0" applyBorder="1" applyFont="1"/>
    <xf borderId="6" fillId="4" fontId="2" numFmtId="165" xfId="0" applyBorder="1" applyFont="1" applyNumberFormat="1"/>
    <xf borderId="0" fillId="3" fontId="5" numFmtId="164" xfId="0" applyAlignment="1" applyFont="1" applyNumberFormat="1">
      <alignment readingOrder="0" shrinkToFit="0" vertical="bottom" wrapText="1"/>
    </xf>
    <xf borderId="10" fillId="4" fontId="2" numFmtId="0" xfId="0" applyBorder="1" applyFont="1"/>
    <xf borderId="11" fillId="4" fontId="2" numFmtId="0" xfId="0" applyBorder="1" applyFont="1"/>
    <xf borderId="11" fillId="4" fontId="2" numFmtId="165" xfId="0" applyBorder="1" applyFont="1" applyNumberFormat="1"/>
    <xf borderId="12" fillId="4" fontId="2" numFmtId="0" xfId="0" applyBorder="1" applyFont="1"/>
    <xf borderId="0" fillId="0" fontId="3" numFmtId="165" xfId="0" applyAlignment="1" applyFont="1" applyNumberFormat="1">
      <alignment horizontal="right" vertical="bottom"/>
    </xf>
    <xf borderId="2" fillId="7" fontId="14" numFmtId="0" xfId="0" applyAlignment="1" applyBorder="1" applyFont="1">
      <alignment readingOrder="0" shrinkToFit="0" vertical="top" wrapText="1"/>
    </xf>
    <xf borderId="0" fillId="0" fontId="15" numFmtId="164" xfId="0" applyAlignment="1" applyFont="1" applyNumberFormat="1">
      <alignment readingOrder="0"/>
    </xf>
    <xf borderId="0" fillId="0" fontId="2" numFmtId="0" xfId="0" applyAlignment="1" applyFont="1">
      <alignment readingOrder="0" shrinkToFit="0" wrapText="0"/>
    </xf>
    <xf borderId="0" fillId="0" fontId="15" numFmtId="0" xfId="0" applyAlignment="1" applyFont="1">
      <alignment readingOrder="0"/>
    </xf>
    <xf borderId="1" fillId="4" fontId="9" numFmtId="0" xfId="0" applyAlignment="1" applyBorder="1" applyFont="1">
      <alignment readingOrder="0"/>
    </xf>
    <xf borderId="1" fillId="4" fontId="9" numFmtId="0" xfId="0" applyAlignment="1" applyBorder="1" applyFont="1">
      <alignment horizontal="center" readingOrder="0"/>
    </xf>
    <xf borderId="1" fillId="0" fontId="2" numFmtId="0" xfId="0" applyBorder="1" applyFont="1"/>
    <xf borderId="0" fillId="0" fontId="2" numFmtId="0" xfId="0" applyAlignment="1" applyFont="1">
      <alignment readingOrder="0" shrinkToFit="0" wrapText="1"/>
    </xf>
    <xf borderId="1" fillId="0" fontId="2" numFmtId="10" xfId="0" applyBorder="1" applyFont="1" applyNumberFormat="1"/>
    <xf borderId="1" fillId="9" fontId="9" numFmtId="0" xfId="0" applyAlignment="1" applyBorder="1" applyFill="1" applyFont="1">
      <alignment readingOrder="0"/>
    </xf>
    <xf borderId="1" fillId="9" fontId="9" numFmtId="0" xfId="0" applyBorder="1" applyFont="1"/>
    <xf borderId="1" fillId="9" fontId="2" numFmtId="0" xfId="0" applyBorder="1" applyFont="1"/>
    <xf borderId="0" fillId="10" fontId="9" numFmtId="0" xfId="0" applyAlignment="1" applyFill="1" applyFont="1">
      <alignment readingOrder="0"/>
    </xf>
    <xf borderId="0" fillId="10" fontId="2" numFmtId="0" xfId="0" applyFont="1"/>
    <xf borderId="0" fillId="10" fontId="2" numFmtId="0" xfId="0" applyAlignment="1" applyFont="1">
      <alignment readingOrder="0" shrinkToFit="0" vertical="center" wrapText="1"/>
    </xf>
    <xf borderId="13" fillId="5" fontId="9" numFmtId="0" xfId="0" applyAlignment="1" applyBorder="1" applyFont="1">
      <alignment readingOrder="0" vertical="center"/>
    </xf>
    <xf borderId="7" fillId="4" fontId="9" numFmtId="0" xfId="0" applyAlignment="1" applyBorder="1" applyFont="1">
      <alignment horizontal="center" readingOrder="0"/>
    </xf>
    <xf borderId="14" fillId="0" fontId="8" numFmtId="0" xfId="0" applyBorder="1" applyFont="1"/>
    <xf borderId="1" fillId="5" fontId="9" numFmtId="0" xfId="0" applyAlignment="1" applyBorder="1" applyFont="1">
      <alignment horizontal="center" readingOrder="0" shrinkToFit="0" vertical="center" wrapText="1"/>
    </xf>
    <xf borderId="0" fillId="0" fontId="2" numFmtId="0" xfId="0" applyAlignment="1" applyFont="1">
      <alignment horizontal="center"/>
    </xf>
    <xf borderId="1" fillId="0" fontId="2" numFmtId="10" xfId="0" applyAlignment="1" applyBorder="1" applyFont="1" applyNumberFormat="1">
      <alignment horizontal="center"/>
    </xf>
    <xf borderId="0" fillId="0" fontId="2" numFmtId="164" xfId="0" applyFont="1" applyNumberFormat="1"/>
    <xf borderId="1" fillId="9" fontId="9" numFmtId="0" xfId="0" applyAlignment="1" applyBorder="1" applyFont="1">
      <alignment horizontal="center"/>
    </xf>
    <xf borderId="1" fillId="9" fontId="9" numFmtId="10" xfId="0" applyAlignment="1" applyBorder="1" applyFont="1" applyNumberFormat="1">
      <alignment horizontal="center"/>
    </xf>
    <xf borderId="0" fillId="0" fontId="9" numFmtId="165" xfId="0" applyFont="1" applyNumberFormat="1"/>
    <xf borderId="0" fillId="0" fontId="16" numFmtId="0" xfId="0" applyAlignment="1" applyFont="1">
      <alignment readingOrder="0"/>
    </xf>
    <xf borderId="0" fillId="0" fontId="2" numFmtId="0" xfId="0" applyAlignment="1" applyFont="1">
      <alignment horizontal="center" readingOrder="0"/>
    </xf>
    <xf borderId="1" fillId="0" fontId="2" numFmtId="167" xfId="0" applyAlignment="1" applyBorder="1" applyFont="1" applyNumberFormat="1">
      <alignment horizontal="center"/>
    </xf>
    <xf borderId="0" fillId="0" fontId="2" numFmtId="10" xfId="0" applyAlignment="1" applyFont="1" applyNumberFormat="1">
      <alignment horizontal="center"/>
    </xf>
    <xf borderId="1" fillId="9" fontId="9" numFmtId="166" xfId="0" applyAlignment="1" applyBorder="1" applyFont="1" applyNumberFormat="1">
      <alignment horizontal="center"/>
    </xf>
    <xf borderId="0" fillId="0" fontId="9" numFmtId="10" xfId="0" applyAlignment="1" applyFont="1" applyNumberFormat="1">
      <alignment horizontal="center"/>
    </xf>
    <xf borderId="0" fillId="0" fontId="9" numFmtId="0" xfId="0" applyAlignment="1" applyFont="1">
      <alignment horizontal="center"/>
    </xf>
  </cellXfs>
  <cellStyles count="1">
    <cellStyle xfId="0" name="Normal" builtinId="0"/>
  </cellStyles>
  <dxfs count="3">
    <dxf>
      <font>
        <b/>
        <color rgb="FFFFFFFF"/>
      </font>
      <fill>
        <patternFill patternType="solid">
          <fgColor rgb="FF9900FF"/>
          <bgColor rgb="FF9900FF"/>
        </patternFill>
      </fill>
      <border/>
    </dxf>
    <dxf>
      <font>
        <b/>
        <color rgb="FFFFFFFF"/>
      </font>
      <fill>
        <patternFill patternType="solid">
          <fgColor rgb="FFFF9900"/>
          <bgColor rgb="FFFF9900"/>
        </patternFill>
      </fill>
      <border/>
    </dxf>
    <dxf>
      <font>
        <b/>
        <color rgb="FFFFFFFF"/>
      </font>
      <fill>
        <patternFill patternType="solid">
          <fgColor rgb="FF38761D"/>
          <bgColor rgb="FF38761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6.xml"/><Relationship Id="rId10" Type="http://schemas.openxmlformats.org/officeDocument/2006/relationships/chartsheet" Target="chartsheets/sheet2.xml"/><Relationship Id="rId13" Type="http://schemas.openxmlformats.org/officeDocument/2006/relationships/worksheet" Target="worksheets/sheet8.xml"/><Relationship Id="rId12"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5.xml"/><Relationship Id="rId14" Type="http://schemas.openxmlformats.org/officeDocument/2006/relationships/pivotCacheDefinition" Target="pivotCache/pivotCacheDefinition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chartsheet" Target="chart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Distribution of Salaries by Gender Identification</a:t>
            </a:r>
          </a:p>
        </c:rich>
      </c:tx>
      <c:overlay val="0"/>
    </c:title>
    <c:plotArea>
      <c:layout/>
      <c:lineChart>
        <c:ser>
          <c:idx val="0"/>
          <c:order val="0"/>
          <c:tx>
            <c:strRef>
              <c:f>'1.1) Distribution Data'!$B$1</c:f>
            </c:strRef>
          </c:tx>
          <c:marker>
            <c:symbol val="none"/>
          </c:marker>
          <c:cat>
            <c:strRef>
              <c:f>'1.1) Distribution Data'!$A$2:$A$15</c:f>
            </c:strRef>
          </c:cat>
          <c:val>
            <c:numRef>
              <c:f>'1.1) Distribution Data'!$B$2:$B$15</c:f>
            </c:numRef>
          </c:val>
          <c:smooth val="1"/>
        </c:ser>
        <c:ser>
          <c:idx val="1"/>
          <c:order val="1"/>
          <c:tx>
            <c:strRef>
              <c:f>'1.1) Distribution Data'!$C$1</c:f>
            </c:strRef>
          </c:tx>
          <c:marker>
            <c:symbol val="none"/>
          </c:marker>
          <c:cat>
            <c:strRef>
              <c:f>'1.1) Distribution Data'!$A$2:$A$15</c:f>
            </c:strRef>
          </c:cat>
          <c:val>
            <c:numRef>
              <c:f>'1.1) Distribution Data'!$C$2:$C$15</c:f>
            </c:numRef>
          </c:val>
          <c:smooth val="1"/>
        </c:ser>
        <c:ser>
          <c:idx val="2"/>
          <c:order val="2"/>
          <c:tx>
            <c:strRef>
              <c:f>'1.1) Distribution Data'!$D$1</c:f>
            </c:strRef>
          </c:tx>
          <c:marker>
            <c:symbol val="none"/>
          </c:marker>
          <c:cat>
            <c:strRef>
              <c:f>'1.1) Distribution Data'!$A$2:$A$15</c:f>
            </c:strRef>
          </c:cat>
          <c:val>
            <c:numRef>
              <c:f>'1.1) Distribution Data'!$D$2:$D$15</c:f>
            </c:numRef>
          </c:val>
          <c:smooth val="1"/>
        </c:ser>
        <c:ser>
          <c:idx val="3"/>
          <c:order val="3"/>
          <c:tx>
            <c:strRef>
              <c:f>'1.1) Distribution Data'!$E$1</c:f>
            </c:strRef>
          </c:tx>
          <c:marker>
            <c:symbol val="none"/>
          </c:marker>
          <c:cat>
            <c:strRef>
              <c:f>'1.1) Distribution Data'!$A$2:$A$15</c:f>
            </c:strRef>
          </c:cat>
          <c:val>
            <c:numRef>
              <c:f>'1.1) Distribution Data'!$E$2:$E$15</c:f>
            </c:numRef>
          </c:val>
          <c:smooth val="1"/>
        </c:ser>
        <c:axId val="332845662"/>
        <c:axId val="2107616833"/>
      </c:lineChart>
      <c:catAx>
        <c:axId val="332845662"/>
        <c:scaling>
          <c:orientation val="minMax"/>
        </c:scaling>
        <c:delete val="0"/>
        <c:axPos val="b"/>
        <c:title>
          <c:tx>
            <c:rich>
              <a:bodyPr/>
              <a:lstStyle/>
              <a:p>
                <a:pPr lvl="0">
                  <a:defRPr b="0">
                    <a:solidFill>
                      <a:srgbClr val="000000"/>
                    </a:solidFill>
                    <a:latin typeface="+mn-lt"/>
                  </a:defRPr>
                </a:pPr>
                <a:r>
                  <a:t>Salary</a:t>
                </a:r>
              </a:p>
            </c:rich>
          </c:tx>
          <c:overlay val="0"/>
        </c:title>
        <c:txPr>
          <a:bodyPr/>
          <a:lstStyle/>
          <a:p>
            <a:pPr lvl="0">
              <a:defRPr b="0">
                <a:solidFill>
                  <a:srgbClr val="000000"/>
                </a:solidFill>
                <a:latin typeface="+mn-lt"/>
              </a:defRPr>
            </a:pPr>
          </a:p>
        </c:txPr>
        <c:crossAx val="2107616833"/>
      </c:catAx>
      <c:valAx>
        <c:axId val="210761683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Normal Distribution of Salaries</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332845662"/>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Salary Breakdown by Position Grouping and Gender</a:t>
            </a:r>
          </a:p>
        </c:rich>
      </c:tx>
      <c:overlay val="0"/>
    </c:title>
    <c:plotArea>
      <c:layout/>
      <c:scatterChart>
        <c:scatterStyle val="lineMarker"/>
        <c:ser>
          <c:idx val="0"/>
          <c:order val="0"/>
          <c:tx>
            <c:strRef>
              <c:f>'1) - Data Entry'!$G$7</c:f>
            </c:strRef>
          </c:tx>
          <c:spPr>
            <a:ln w="47625">
              <a:noFill/>
            </a:ln>
          </c:spPr>
          <c:marker>
            <c:symbol val="circle"/>
            <c:size val="7"/>
            <c:spPr>
              <a:solidFill>
                <a:srgbClr val="FF9900"/>
              </a:solidFill>
              <a:ln cmpd="sng">
                <a:solidFill>
                  <a:srgbClr val="FF9900"/>
                </a:solidFill>
              </a:ln>
            </c:spPr>
          </c:marker>
          <c:xVal>
            <c:numRef>
              <c:f>'1) - Data Entry'!$D$8:$D$30</c:f>
            </c:numRef>
          </c:xVal>
          <c:yVal>
            <c:numRef>
              <c:f>'1) - Data Entry'!$G$8:$G$30</c:f>
            </c:numRef>
          </c:yVal>
        </c:ser>
        <c:ser>
          <c:idx val="1"/>
          <c:order val="1"/>
          <c:tx>
            <c:strRef>
              <c:f>'1) - Data Entry'!$H$7</c:f>
            </c:strRef>
          </c:tx>
          <c:spPr>
            <a:ln w="47625">
              <a:noFill/>
            </a:ln>
          </c:spPr>
          <c:marker>
            <c:symbol val="circle"/>
            <c:size val="7"/>
            <c:spPr>
              <a:solidFill>
                <a:srgbClr val="9900FF"/>
              </a:solidFill>
              <a:ln cmpd="sng">
                <a:solidFill>
                  <a:srgbClr val="9900FF"/>
                </a:solidFill>
              </a:ln>
            </c:spPr>
          </c:marker>
          <c:xVal>
            <c:numRef>
              <c:f>'1) - Data Entry'!$D$8:$D$30</c:f>
            </c:numRef>
          </c:xVal>
          <c:yVal>
            <c:numRef>
              <c:f>'1) - Data Entry'!$H$8:$H$30</c:f>
            </c:numRef>
          </c:yVal>
        </c:ser>
        <c:ser>
          <c:idx val="2"/>
          <c:order val="2"/>
          <c:tx>
            <c:strRef>
              <c:f>'1) - Data Entry'!$F$7</c:f>
            </c:strRef>
          </c:tx>
          <c:spPr>
            <a:ln w="47625">
              <a:noFill/>
            </a:ln>
          </c:spPr>
          <c:marker>
            <c:symbol val="circle"/>
            <c:size val="7"/>
            <c:spPr>
              <a:solidFill>
                <a:srgbClr val="6AA84F"/>
              </a:solidFill>
              <a:ln cmpd="sng">
                <a:solidFill>
                  <a:srgbClr val="6AA84F"/>
                </a:solidFill>
              </a:ln>
            </c:spPr>
          </c:marker>
          <c:xVal>
            <c:numRef>
              <c:f>'1) - Data Entry'!$D$8:$D$30</c:f>
            </c:numRef>
          </c:xVal>
          <c:yVal>
            <c:numRef>
              <c:f>'1) - Data Entry'!$F$8:$F$30</c:f>
            </c:numRef>
          </c:yVal>
        </c:ser>
        <c:dLbls>
          <c:showLegendKey val="0"/>
          <c:showVal val="0"/>
          <c:showCatName val="0"/>
          <c:showSerName val="0"/>
          <c:showPercent val="0"/>
          <c:showBubbleSize val="0"/>
        </c:dLbls>
        <c:axId val="1632324091"/>
        <c:axId val="2615308"/>
      </c:scatterChart>
      <c:valAx>
        <c:axId val="163232409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Grouping</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2615308"/>
      </c:valAx>
      <c:valAx>
        <c:axId val="26153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Salary</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632324091"/>
      </c:valAx>
    </c:plotArea>
    <c:legend>
      <c:legendPos val="r"/>
      <c:overlay val="0"/>
      <c:txPr>
        <a:bodyPr/>
        <a:lstStyle/>
        <a:p>
          <a:pPr lvl="0">
            <a:defRPr b="0">
              <a:solidFill>
                <a:srgbClr val="1A1A1A"/>
              </a:solidFill>
              <a:latin typeface="+mn-lt"/>
            </a:defRPr>
          </a:pPr>
        </a:p>
      </c:txP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sheetPr>
  <sheetViews>
    <sheetView workbookViewId="0"/>
  </sheetViews>
  <drawing r:id="rId1"/>
</chartsheet>
</file>

<file path=xl/chartsheets/sheet2.xml><?xml version="1.0" encoding="utf-8"?>
<chart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sheetPr>
  <sheetViews>
    <sheetView workbookViewId="0"/>
  </sheetViews>
  <drawing r:id="rId1"/>
</chartsheet>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absoluteAnchor>
    <xdr:pos x="0" y="0"/>
    <xdr:ext cx="8610600" cy="62769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absolute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absoluteAnchor>
    <xdr:pos x="0" y="0"/>
    <xdr:ext cx="8610600" cy="6276975"/>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absolute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H30" sheet="1) - Data Entry"/>
  </cacheSource>
  <cacheFields>
    <cacheField name="Position [insert title here]" numFmtId="164">
      <sharedItems>
        <s v="CEO"/>
        <s v="C-Suite B"/>
        <s v="C-Suite A"/>
        <s v="VP C"/>
        <s v="VP B"/>
        <s v="VP A"/>
        <s v="Director D"/>
        <s v="Director C"/>
        <s v="Director B"/>
        <s v="Director A"/>
        <s v="Director X"/>
        <s v="Manager D"/>
        <s v="Manager C"/>
        <s v="Manager B"/>
        <s v="Manager A"/>
        <s v="Employee H"/>
        <s v="Employee G"/>
        <s v="Employee F"/>
        <s v="Employee E"/>
        <s v="Employee D"/>
        <s v="Employee C"/>
        <s v="Employee B"/>
        <s v="TO ADD EMPLOYEES:&#10;- Copy and paste one of the above rows into this table, and edit data as required&#10;&#10;TO REMOVE EMPLOYEES:&#10;- Delete any unused rows&#10;"/>
      </sharedItems>
    </cacheField>
    <cacheField name="Annual Salary" numFmtId="165">
      <sharedItems containsSemiMixedTypes="0" containsString="0" containsNumber="1" containsInteger="1">
        <n v="275000.0"/>
        <n v="240000.0"/>
        <n v="200000.0"/>
        <n v="150000.0"/>
        <n v="190000.0"/>
        <n v="100000.0"/>
        <n v="130000.0"/>
        <n v="140000.0"/>
        <n v="90000.0"/>
        <n v="110000.0"/>
        <n v="120000.0"/>
        <n v="125000.0"/>
        <n v="50000.0"/>
        <n v="32500.0"/>
        <n v="70000.0"/>
        <n v="80000.0"/>
        <n v="40000.0"/>
        <n v="85000.0"/>
        <n v="95000.0"/>
      </sharedItems>
    </cacheField>
    <cacheField name="Gender" numFmtId="0">
      <sharedItems>
        <s v="M"/>
        <s v="F"/>
        <s v="TG / GV"/>
      </sharedItems>
    </cacheField>
    <cacheField name="Group ID" numFmtId="0">
      <sharedItems containsSemiMixedTypes="0" containsString="0" containsNumber="1" containsInteger="1">
        <n v="5.0"/>
        <n v="4.0"/>
        <n v="3.0"/>
        <n v="2.0"/>
        <n v="1.0"/>
      </sharedItems>
    </cacheField>
    <cacheField name="Group Name" numFmtId="0">
      <sharedItems>
        <s v="Executive / C-Suite"/>
        <s v="VP"/>
        <s v="Director"/>
        <s v="Manager"/>
        <s v="Other"/>
      </sharedItems>
    </cacheField>
    <cacheField name="Male">
      <sharedItems containsMixedTypes="1" containsNumber="1" containsInteger="1">
        <n v="275000.0"/>
        <n v="240000.0"/>
        <s v=""/>
        <n v="150000.0"/>
        <n v="190000.0"/>
        <n v="130000.0"/>
        <n v="140000.0"/>
        <n v="50000.0"/>
        <n v="40000.0"/>
        <n v="85000.0"/>
      </sharedItems>
    </cacheField>
    <cacheField name="Female">
      <sharedItems containsMixedTypes="1" containsNumber="1" containsInteger="1">
        <s v=""/>
        <n v="200000.0"/>
        <n v="100000.0"/>
        <n v="90000.0"/>
        <n v="110000.0"/>
        <n v="120000.0"/>
        <n v="32500.0"/>
        <n v="80000.0"/>
        <n v="95000.0"/>
      </sharedItems>
    </cacheField>
    <cacheField name="Transgender / Gender Variant">
      <sharedItems containsMixedTypes="1" containsNumber="1" containsInteger="1">
        <s v=""/>
        <n v="125000.0"/>
        <n v="70000.0"/>
      </sharedItems>
    </cacheField>
  </cacheFields>
</pivotCach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71"/>
    <col customWidth="1" min="2" max="2" width="32.14"/>
    <col customWidth="1" min="7" max="7" width="32.86"/>
    <col customWidth="1" min="9" max="9" width="21.0"/>
  </cols>
  <sheetData>
    <row r="1">
      <c r="A1" s="1" t="s">
        <v>0</v>
      </c>
      <c r="B1" s="2"/>
      <c r="C1" s="2"/>
      <c r="D1" s="2"/>
      <c r="E1" s="2"/>
      <c r="F1" s="2"/>
      <c r="G1" s="2"/>
      <c r="H1" s="2"/>
      <c r="I1" s="2"/>
      <c r="J1" s="2"/>
      <c r="K1" s="2"/>
      <c r="L1" s="2"/>
      <c r="M1" s="2"/>
      <c r="N1" s="2"/>
      <c r="O1" s="2"/>
      <c r="P1" s="2"/>
      <c r="Q1" s="2"/>
      <c r="R1" s="2"/>
      <c r="S1" s="2"/>
      <c r="T1" s="2"/>
      <c r="U1" s="2"/>
      <c r="V1" s="2"/>
      <c r="W1" s="2"/>
      <c r="X1" s="2"/>
      <c r="Y1" s="2"/>
      <c r="Z1" s="2"/>
    </row>
    <row r="2">
      <c r="A2" s="1" t="s">
        <v>1</v>
      </c>
      <c r="B2" s="2"/>
      <c r="C2" s="2"/>
      <c r="D2" s="2"/>
      <c r="E2" s="2"/>
      <c r="F2" s="2"/>
      <c r="G2" s="2"/>
      <c r="H2" s="2"/>
      <c r="I2" s="2"/>
      <c r="J2" s="2"/>
      <c r="K2" s="2"/>
      <c r="L2" s="2"/>
      <c r="M2" s="2"/>
      <c r="N2" s="2"/>
      <c r="O2" s="2"/>
      <c r="P2" s="2"/>
      <c r="Q2" s="2"/>
      <c r="R2" s="2"/>
      <c r="S2" s="2"/>
      <c r="T2" s="2"/>
      <c r="U2" s="2"/>
      <c r="V2" s="2"/>
      <c r="W2" s="2"/>
      <c r="X2" s="2"/>
      <c r="Y2" s="2"/>
      <c r="Z2" s="2"/>
    </row>
    <row r="3">
      <c r="A3" s="4"/>
      <c r="B3" s="4"/>
      <c r="C3" s="2"/>
      <c r="D3" s="4"/>
      <c r="E3" s="4"/>
      <c r="F3" s="4"/>
      <c r="G3" s="2"/>
      <c r="H3" s="2"/>
      <c r="I3" s="2"/>
      <c r="J3" s="2"/>
      <c r="K3" s="2"/>
      <c r="L3" s="2"/>
      <c r="M3" s="2"/>
      <c r="N3" s="2"/>
      <c r="O3" s="2"/>
      <c r="P3" s="2"/>
      <c r="Q3" s="2"/>
      <c r="R3" s="2"/>
      <c r="S3" s="2"/>
      <c r="T3" s="2"/>
      <c r="U3" s="2"/>
      <c r="V3" s="2"/>
      <c r="W3" s="2"/>
      <c r="X3" s="2"/>
      <c r="Y3" s="2"/>
      <c r="Z3" s="2"/>
    </row>
    <row r="4">
      <c r="A4" s="7" t="s">
        <v>5</v>
      </c>
      <c r="B4" s="4"/>
      <c r="C4" s="4"/>
      <c r="D4" s="4"/>
      <c r="E4" s="4"/>
      <c r="F4" s="4"/>
      <c r="G4" s="2"/>
      <c r="H4" s="2"/>
      <c r="I4" s="2"/>
      <c r="J4" s="2"/>
      <c r="K4" s="2"/>
      <c r="L4" s="2"/>
      <c r="M4" s="2"/>
      <c r="N4" s="2"/>
      <c r="O4" s="2"/>
      <c r="P4" s="2"/>
      <c r="Q4" s="2"/>
      <c r="R4" s="2"/>
      <c r="S4" s="2"/>
      <c r="T4" s="2"/>
      <c r="U4" s="2"/>
      <c r="V4" s="2"/>
      <c r="W4" s="2"/>
      <c r="X4" s="2"/>
      <c r="Y4" s="2"/>
      <c r="Z4" s="2"/>
    </row>
    <row r="5">
      <c r="A5" s="9" t="s">
        <v>7</v>
      </c>
      <c r="B5" s="4"/>
      <c r="C5" s="4"/>
      <c r="D5" s="4"/>
      <c r="E5" s="4"/>
      <c r="F5" s="4"/>
      <c r="G5" s="2"/>
      <c r="H5" s="2"/>
      <c r="I5" s="2"/>
      <c r="J5" s="2"/>
      <c r="K5" s="2"/>
      <c r="L5" s="2"/>
      <c r="M5" s="2"/>
      <c r="N5" s="2"/>
      <c r="O5" s="2"/>
      <c r="P5" s="2"/>
      <c r="Q5" s="2"/>
      <c r="R5" s="2"/>
      <c r="S5" s="2"/>
      <c r="T5" s="2"/>
      <c r="U5" s="2"/>
      <c r="V5" s="2"/>
      <c r="W5" s="2"/>
      <c r="X5" s="2"/>
      <c r="Y5" s="2"/>
      <c r="Z5" s="2"/>
    </row>
    <row r="6">
      <c r="A6" s="9" t="s">
        <v>9</v>
      </c>
      <c r="B6" s="4"/>
      <c r="C6" s="4"/>
      <c r="D6" s="4"/>
      <c r="E6" s="4"/>
      <c r="F6" s="4"/>
      <c r="G6" s="2"/>
      <c r="H6" s="2"/>
      <c r="I6" s="2"/>
      <c r="J6" s="2"/>
      <c r="K6" s="2"/>
      <c r="L6" s="2"/>
      <c r="M6" s="2"/>
      <c r="N6" s="2"/>
      <c r="O6" s="2"/>
      <c r="P6" s="2"/>
      <c r="Q6" s="2"/>
      <c r="R6" s="2"/>
      <c r="S6" s="2"/>
      <c r="T6" s="2"/>
      <c r="U6" s="2"/>
      <c r="V6" s="2"/>
      <c r="W6" s="2"/>
      <c r="X6" s="2"/>
      <c r="Y6" s="2"/>
      <c r="Z6" s="2"/>
    </row>
    <row r="7">
      <c r="A7" s="9" t="s">
        <v>11</v>
      </c>
      <c r="B7" s="4"/>
      <c r="C7" s="4"/>
      <c r="D7" s="4"/>
      <c r="E7" s="4"/>
      <c r="F7" s="4"/>
      <c r="G7" s="2"/>
      <c r="H7" s="2"/>
      <c r="I7" s="2"/>
      <c r="J7" s="2"/>
      <c r="K7" s="2"/>
      <c r="L7" s="2"/>
      <c r="M7" s="2"/>
      <c r="N7" s="2"/>
      <c r="O7" s="2"/>
      <c r="P7" s="2"/>
      <c r="Q7" s="2"/>
      <c r="R7" s="2"/>
      <c r="S7" s="2"/>
      <c r="T7" s="2"/>
      <c r="U7" s="2"/>
      <c r="V7" s="2"/>
      <c r="W7" s="2"/>
      <c r="X7" s="2"/>
      <c r="Y7" s="2"/>
      <c r="Z7" s="2"/>
    </row>
    <row r="8">
      <c r="A8" s="4"/>
      <c r="B8" s="4"/>
      <c r="C8" s="4"/>
      <c r="D8" s="4"/>
      <c r="E8" s="4"/>
      <c r="F8" s="4"/>
      <c r="G8" s="2"/>
      <c r="H8" s="2"/>
      <c r="I8" s="2"/>
      <c r="J8" s="2"/>
      <c r="K8" s="2"/>
      <c r="L8" s="2"/>
      <c r="M8" s="2"/>
      <c r="N8" s="2"/>
      <c r="O8" s="2"/>
      <c r="P8" s="2"/>
      <c r="Q8" s="2"/>
      <c r="R8" s="2"/>
      <c r="S8" s="2"/>
      <c r="T8" s="2"/>
      <c r="U8" s="2"/>
      <c r="V8" s="2"/>
      <c r="W8" s="2"/>
      <c r="X8" s="2"/>
      <c r="Y8" s="2"/>
      <c r="Z8" s="2"/>
    </row>
    <row r="9">
      <c r="A9" s="4"/>
      <c r="B9" s="4"/>
      <c r="C9" s="4"/>
      <c r="D9" s="4"/>
      <c r="E9" s="4"/>
      <c r="F9" s="4"/>
      <c r="G9" s="2"/>
      <c r="H9" s="2"/>
      <c r="I9" s="2"/>
      <c r="J9" s="2"/>
      <c r="K9" s="2"/>
      <c r="L9" s="2"/>
      <c r="M9" s="2"/>
      <c r="N9" s="2"/>
      <c r="O9" s="2"/>
      <c r="P9" s="2"/>
      <c r="Q9" s="2"/>
      <c r="R9" s="2"/>
      <c r="S9" s="2"/>
      <c r="T9" s="2"/>
      <c r="U9" s="2"/>
      <c r="V9" s="2"/>
      <c r="W9" s="2"/>
      <c r="X9" s="2"/>
      <c r="Y9" s="2"/>
      <c r="Z9" s="2"/>
    </row>
    <row r="10">
      <c r="A10" s="21" t="s">
        <v>14</v>
      </c>
      <c r="B10" s="23"/>
      <c r="C10" s="4"/>
      <c r="D10" s="26" t="s">
        <v>16</v>
      </c>
      <c r="E10" s="14"/>
      <c r="F10" s="14"/>
      <c r="G10" s="14"/>
      <c r="H10" s="14"/>
      <c r="I10" s="16"/>
      <c r="J10" s="2"/>
      <c r="K10" s="2"/>
      <c r="L10" s="2"/>
      <c r="M10" s="2"/>
      <c r="N10" s="2"/>
      <c r="O10" s="2"/>
      <c r="P10" s="2"/>
      <c r="Q10" s="2"/>
      <c r="R10" s="2"/>
      <c r="S10" s="2"/>
      <c r="T10" s="2"/>
      <c r="U10" s="2"/>
      <c r="V10" s="2"/>
      <c r="W10" s="2"/>
      <c r="X10" s="2"/>
      <c r="Y10" s="2"/>
      <c r="Z10" s="2"/>
    </row>
    <row r="11">
      <c r="A11" s="29" t="s">
        <v>18</v>
      </c>
      <c r="B11" s="33" t="s">
        <v>22</v>
      </c>
      <c r="C11" s="4"/>
      <c r="D11" s="18"/>
      <c r="I11" s="20"/>
      <c r="J11" s="2"/>
      <c r="K11" s="2"/>
      <c r="L11" s="2"/>
      <c r="M11" s="2"/>
      <c r="N11" s="2"/>
      <c r="O11" s="2"/>
      <c r="P11" s="2"/>
      <c r="Q11" s="2"/>
      <c r="R11" s="2"/>
      <c r="S11" s="2"/>
      <c r="T11" s="2"/>
      <c r="U11" s="2"/>
      <c r="V11" s="2"/>
      <c r="W11" s="2"/>
      <c r="X11" s="2"/>
      <c r="Y11" s="2"/>
      <c r="Z11" s="2"/>
    </row>
    <row r="12">
      <c r="A12" s="29" t="s">
        <v>32</v>
      </c>
      <c r="B12" s="33" t="s">
        <v>30</v>
      </c>
      <c r="C12" s="4"/>
      <c r="D12" s="18"/>
      <c r="I12" s="20"/>
      <c r="J12" s="2"/>
      <c r="K12" s="2"/>
      <c r="L12" s="2"/>
      <c r="M12" s="2"/>
      <c r="N12" s="2"/>
      <c r="O12" s="2"/>
      <c r="P12" s="2"/>
      <c r="Q12" s="2"/>
      <c r="R12" s="2"/>
      <c r="S12" s="2"/>
      <c r="T12" s="2"/>
      <c r="U12" s="2"/>
      <c r="V12" s="2"/>
      <c r="W12" s="2"/>
      <c r="X12" s="2"/>
      <c r="Y12" s="2"/>
      <c r="Z12" s="2"/>
    </row>
    <row r="13">
      <c r="A13" s="29" t="s">
        <v>34</v>
      </c>
      <c r="B13" s="33" t="s">
        <v>31</v>
      </c>
      <c r="C13" s="4"/>
      <c r="D13" s="25"/>
      <c r="E13" s="27"/>
      <c r="F13" s="27"/>
      <c r="G13" s="27"/>
      <c r="H13" s="27"/>
      <c r="I13" s="28"/>
      <c r="J13" s="2"/>
      <c r="K13" s="2"/>
      <c r="L13" s="2"/>
      <c r="M13" s="2"/>
      <c r="N13" s="2"/>
      <c r="O13" s="2"/>
      <c r="P13" s="2"/>
      <c r="Q13" s="2"/>
      <c r="R13" s="2"/>
      <c r="S13" s="2"/>
      <c r="T13" s="2"/>
      <c r="U13" s="2"/>
      <c r="V13" s="2"/>
      <c r="W13" s="2"/>
      <c r="X13" s="2"/>
      <c r="Y13" s="2"/>
      <c r="Z13" s="2"/>
    </row>
    <row r="14" ht="20.25" customHeight="1">
      <c r="A14" s="4"/>
      <c r="B14" s="4"/>
      <c r="C14" s="4"/>
      <c r="D14" s="4"/>
      <c r="E14" s="4"/>
      <c r="F14" s="4"/>
      <c r="G14" s="2"/>
      <c r="H14" s="2"/>
      <c r="I14" s="2"/>
      <c r="J14" s="2"/>
      <c r="K14" s="2"/>
      <c r="L14" s="2"/>
      <c r="M14" s="2"/>
      <c r="N14" s="2"/>
      <c r="O14" s="2"/>
      <c r="P14" s="2"/>
      <c r="Q14" s="2"/>
      <c r="R14" s="2"/>
      <c r="S14" s="2"/>
      <c r="T14" s="2"/>
      <c r="U14" s="2"/>
      <c r="V14" s="2"/>
      <c r="W14" s="2"/>
      <c r="X14" s="2"/>
      <c r="Y14" s="2"/>
      <c r="Z14" s="2"/>
    </row>
    <row r="15">
      <c r="A15" s="21" t="s">
        <v>35</v>
      </c>
      <c r="B15" s="23"/>
      <c r="C15" s="2"/>
      <c r="D15" s="26" t="s">
        <v>36</v>
      </c>
      <c r="E15" s="14"/>
      <c r="F15" s="14"/>
      <c r="G15" s="14"/>
      <c r="H15" s="14"/>
      <c r="I15" s="16"/>
      <c r="J15" s="2"/>
      <c r="K15" s="2"/>
      <c r="L15" s="2"/>
      <c r="M15" s="2"/>
      <c r="N15" s="2"/>
      <c r="O15" s="2"/>
      <c r="P15" s="2"/>
      <c r="Q15" s="2"/>
      <c r="R15" s="2"/>
      <c r="S15" s="2"/>
      <c r="T15" s="2"/>
      <c r="U15" s="2"/>
      <c r="V15" s="2"/>
      <c r="W15" s="2"/>
      <c r="X15" s="2"/>
      <c r="Y15" s="2"/>
      <c r="Z15" s="2"/>
    </row>
    <row r="16">
      <c r="A16" s="37" t="s">
        <v>37</v>
      </c>
      <c r="B16" s="39" t="s">
        <v>38</v>
      </c>
      <c r="C16" s="2"/>
      <c r="D16" s="18"/>
      <c r="I16" s="20"/>
      <c r="J16" s="2"/>
      <c r="K16" s="2"/>
      <c r="L16" s="2"/>
      <c r="M16" s="2"/>
      <c r="N16" s="2"/>
      <c r="O16" s="2"/>
      <c r="P16" s="2"/>
      <c r="Q16" s="2"/>
      <c r="R16" s="2"/>
      <c r="S16" s="2"/>
      <c r="T16" s="2"/>
      <c r="U16" s="2"/>
      <c r="V16" s="2"/>
      <c r="W16" s="2"/>
      <c r="X16" s="2"/>
      <c r="Y16" s="2"/>
      <c r="Z16" s="2"/>
    </row>
    <row r="17">
      <c r="A17" s="41">
        <v>1.0</v>
      </c>
      <c r="B17" s="33" t="s">
        <v>39</v>
      </c>
      <c r="C17" s="2"/>
      <c r="D17" s="18"/>
      <c r="I17" s="20"/>
      <c r="J17" s="2"/>
      <c r="K17" s="2"/>
      <c r="L17" s="2"/>
      <c r="M17" s="2"/>
      <c r="N17" s="2"/>
      <c r="O17" s="2"/>
      <c r="P17" s="2"/>
      <c r="Q17" s="2"/>
      <c r="R17" s="2"/>
      <c r="S17" s="2"/>
      <c r="T17" s="2"/>
      <c r="U17" s="2"/>
      <c r="V17" s="2"/>
      <c r="W17" s="2"/>
      <c r="X17" s="2"/>
      <c r="Y17" s="2"/>
      <c r="Z17" s="2"/>
    </row>
    <row r="18">
      <c r="A18" s="41">
        <v>2.0</v>
      </c>
      <c r="B18" s="33" t="s">
        <v>40</v>
      </c>
      <c r="C18" s="4"/>
      <c r="D18" s="18"/>
      <c r="I18" s="20"/>
      <c r="J18" s="2"/>
      <c r="K18" s="2"/>
      <c r="L18" s="2"/>
      <c r="M18" s="2"/>
      <c r="N18" s="2"/>
      <c r="O18" s="2"/>
      <c r="P18" s="2"/>
      <c r="Q18" s="2"/>
      <c r="R18" s="2"/>
      <c r="S18" s="2"/>
      <c r="T18" s="2"/>
      <c r="U18" s="2"/>
      <c r="V18" s="2"/>
      <c r="W18" s="2"/>
      <c r="X18" s="2"/>
      <c r="Y18" s="2"/>
      <c r="Z18" s="2"/>
    </row>
    <row r="19">
      <c r="A19" s="41">
        <v>3.0</v>
      </c>
      <c r="B19" s="33" t="s">
        <v>45</v>
      </c>
      <c r="C19" s="4"/>
      <c r="D19" s="18"/>
      <c r="I19" s="20"/>
      <c r="J19" s="2"/>
      <c r="K19" s="2"/>
      <c r="L19" s="2"/>
      <c r="M19" s="2"/>
      <c r="N19" s="2"/>
      <c r="O19" s="2"/>
      <c r="P19" s="2"/>
      <c r="Q19" s="2"/>
      <c r="R19" s="2"/>
      <c r="S19" s="2"/>
      <c r="T19" s="2"/>
      <c r="U19" s="2"/>
      <c r="V19" s="2"/>
      <c r="W19" s="2"/>
      <c r="X19" s="2"/>
      <c r="Y19" s="2"/>
      <c r="Z19" s="2"/>
    </row>
    <row r="20">
      <c r="A20" s="41">
        <v>4.0</v>
      </c>
      <c r="B20" s="33" t="s">
        <v>46</v>
      </c>
      <c r="C20" s="4"/>
      <c r="D20" s="18"/>
      <c r="I20" s="20"/>
      <c r="J20" s="2"/>
      <c r="K20" s="2"/>
      <c r="L20" s="2"/>
      <c r="M20" s="2"/>
      <c r="N20" s="2"/>
      <c r="O20" s="2"/>
      <c r="P20" s="2"/>
      <c r="Q20" s="2"/>
      <c r="R20" s="2"/>
      <c r="S20" s="2"/>
      <c r="T20" s="2"/>
      <c r="U20" s="2"/>
      <c r="V20" s="2"/>
      <c r="W20" s="2"/>
      <c r="X20" s="2"/>
      <c r="Y20" s="2"/>
      <c r="Z20" s="2"/>
    </row>
    <row r="21">
      <c r="A21" s="41">
        <v>5.0</v>
      </c>
      <c r="B21" s="33" t="s">
        <v>47</v>
      </c>
      <c r="C21" s="4"/>
      <c r="D21" s="25"/>
      <c r="E21" s="27"/>
      <c r="F21" s="27"/>
      <c r="G21" s="27"/>
      <c r="H21" s="27"/>
      <c r="I21" s="28"/>
      <c r="J21" s="2"/>
      <c r="K21" s="2"/>
      <c r="L21" s="2"/>
      <c r="M21" s="2"/>
      <c r="N21" s="2"/>
      <c r="O21" s="2"/>
      <c r="P21" s="2"/>
      <c r="Q21" s="2"/>
      <c r="R21" s="2"/>
      <c r="S21" s="2"/>
      <c r="T21" s="2"/>
      <c r="U21" s="2"/>
      <c r="V21" s="2"/>
      <c r="W21" s="2"/>
      <c r="X21" s="2"/>
      <c r="Y21" s="2"/>
      <c r="Z21" s="2"/>
    </row>
    <row r="22">
      <c r="A22" s="2"/>
      <c r="B22" s="4"/>
      <c r="C22" s="4"/>
      <c r="D22" s="4"/>
      <c r="E22" s="4"/>
      <c r="F22" s="4"/>
      <c r="G22" s="2"/>
      <c r="H22" s="2"/>
      <c r="I22" s="2"/>
      <c r="J22" s="2"/>
      <c r="K22" s="2"/>
      <c r="L22" s="2"/>
      <c r="M22" s="2"/>
      <c r="N22" s="2"/>
      <c r="O22" s="2"/>
      <c r="P22" s="2"/>
      <c r="Q22" s="2"/>
      <c r="R22" s="2"/>
      <c r="S22" s="2"/>
      <c r="T22" s="2"/>
      <c r="U22" s="2"/>
      <c r="V22" s="2"/>
      <c r="W22" s="2"/>
      <c r="X22" s="2"/>
      <c r="Y22" s="2"/>
      <c r="Z22" s="2"/>
    </row>
    <row r="23">
      <c r="A23" s="2"/>
      <c r="B23" s="4"/>
      <c r="C23" s="4"/>
      <c r="D23" s="4"/>
      <c r="E23" s="4"/>
      <c r="F23" s="4"/>
      <c r="G23" s="2"/>
      <c r="H23" s="2"/>
      <c r="I23" s="2"/>
      <c r="J23" s="2"/>
      <c r="K23" s="2"/>
      <c r="L23" s="2"/>
      <c r="M23" s="2"/>
      <c r="N23" s="2"/>
      <c r="O23" s="2"/>
      <c r="P23" s="2"/>
      <c r="Q23" s="2"/>
      <c r="R23" s="2"/>
      <c r="S23" s="2"/>
      <c r="T23" s="2"/>
      <c r="U23" s="2"/>
      <c r="V23" s="2"/>
      <c r="W23" s="2"/>
      <c r="X23" s="2"/>
      <c r="Y23" s="2"/>
      <c r="Z23" s="2"/>
    </row>
    <row r="24">
      <c r="A24" s="4"/>
      <c r="B24" s="4"/>
      <c r="C24" s="4"/>
      <c r="D24" s="4"/>
      <c r="E24" s="4"/>
      <c r="F24" s="4"/>
      <c r="G24" s="2"/>
      <c r="H24" s="2"/>
      <c r="I24" s="2"/>
      <c r="J24" s="2"/>
      <c r="K24" s="2"/>
      <c r="L24" s="2"/>
      <c r="M24" s="2"/>
      <c r="N24" s="2"/>
      <c r="O24" s="2"/>
      <c r="P24" s="2"/>
      <c r="Q24" s="2"/>
      <c r="R24" s="2"/>
      <c r="S24" s="2"/>
      <c r="T24" s="2"/>
      <c r="U24" s="2"/>
      <c r="V24" s="2"/>
      <c r="W24" s="2"/>
      <c r="X24" s="2"/>
      <c r="Y24" s="2"/>
      <c r="Z24" s="2"/>
    </row>
    <row r="25">
      <c r="A25" s="2"/>
      <c r="B25" s="4"/>
      <c r="C25" s="4"/>
      <c r="D25" s="4"/>
      <c r="E25" s="4"/>
      <c r="F25" s="4"/>
      <c r="G25" s="2"/>
      <c r="H25" s="2"/>
      <c r="I25" s="2"/>
      <c r="J25" s="2"/>
      <c r="K25" s="2"/>
      <c r="L25" s="2"/>
      <c r="M25" s="2"/>
      <c r="N25" s="2"/>
      <c r="O25" s="2"/>
      <c r="P25" s="2"/>
      <c r="Q25" s="2"/>
      <c r="R25" s="2"/>
      <c r="S25" s="2"/>
      <c r="T25" s="2"/>
      <c r="U25" s="2"/>
      <c r="V25" s="2"/>
      <c r="W25" s="2"/>
      <c r="X25" s="2"/>
      <c r="Y25" s="2"/>
      <c r="Z25" s="2"/>
    </row>
    <row r="26">
      <c r="A26" s="2"/>
      <c r="B26" s="4"/>
      <c r="C26" s="4"/>
      <c r="D26" s="4"/>
      <c r="E26" s="4"/>
      <c r="F26" s="4"/>
      <c r="G26" s="2"/>
      <c r="H26" s="2"/>
      <c r="I26" s="2"/>
      <c r="J26" s="2"/>
      <c r="K26" s="2"/>
      <c r="L26" s="2"/>
      <c r="M26" s="2"/>
      <c r="N26" s="2"/>
      <c r="O26" s="2"/>
      <c r="P26" s="2"/>
      <c r="Q26" s="2"/>
      <c r="R26" s="2"/>
      <c r="S26" s="2"/>
      <c r="T26" s="2"/>
      <c r="U26" s="2"/>
      <c r="V26" s="2"/>
      <c r="W26" s="2"/>
      <c r="X26" s="2"/>
      <c r="Y26" s="2"/>
      <c r="Z26" s="2"/>
    </row>
    <row r="27">
      <c r="A27" s="4"/>
      <c r="B27" s="4"/>
      <c r="C27" s="4"/>
      <c r="D27" s="4"/>
      <c r="E27" s="4"/>
      <c r="F27" s="4"/>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4">
    <mergeCell ref="A10:B10"/>
    <mergeCell ref="D10:I13"/>
    <mergeCell ref="A15:B15"/>
    <mergeCell ref="D15:I21"/>
  </mergeCells>
  <conditionalFormatting sqref="A11:A13">
    <cfRule type="cellIs" dxfId="1" priority="1" operator="equal">
      <formula>"F"</formula>
    </cfRule>
  </conditionalFormatting>
  <conditionalFormatting sqref="A11:A13">
    <cfRule type="cellIs" dxfId="0" priority="2" operator="equal">
      <formula>"TG / GV"</formula>
    </cfRule>
  </conditionalFormatting>
  <conditionalFormatting sqref="A11:A13">
    <cfRule type="cellIs" dxfId="2" priority="3" operator="equal">
      <formula>"M"</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 t="s">
        <v>2</v>
      </c>
    </row>
    <row r="2">
      <c r="A2" s="3" t="s">
        <v>3</v>
      </c>
    </row>
    <row r="3">
      <c r="A3" s="3" t="s">
        <v>4</v>
      </c>
    </row>
    <row r="5">
      <c r="A5" s="6" t="s">
        <v>4</v>
      </c>
    </row>
    <row r="6">
      <c r="A6" s="8" t="s">
        <v>6</v>
      </c>
    </row>
    <row r="7">
      <c r="A7" s="12" t="s">
        <v>8</v>
      </c>
      <c r="B7" s="14"/>
      <c r="C7" s="14"/>
      <c r="D7" s="14"/>
      <c r="E7" s="14"/>
      <c r="F7" s="14"/>
      <c r="G7" s="16"/>
    </row>
    <row r="8">
      <c r="A8" s="18"/>
      <c r="G8" s="20"/>
    </row>
    <row r="9">
      <c r="A9" s="18"/>
      <c r="G9" s="20"/>
    </row>
    <row r="10">
      <c r="A10" s="18"/>
      <c r="G10" s="20"/>
    </row>
    <row r="11">
      <c r="A11" s="18"/>
      <c r="G11" s="20"/>
    </row>
    <row r="12">
      <c r="A12" s="18"/>
      <c r="G12" s="20"/>
    </row>
    <row r="13">
      <c r="A13" s="18"/>
      <c r="G13" s="20"/>
    </row>
    <row r="14">
      <c r="A14" s="18"/>
      <c r="G14" s="20"/>
    </row>
    <row r="15">
      <c r="A15" s="18"/>
      <c r="G15" s="20"/>
    </row>
    <row r="16">
      <c r="A16" s="18"/>
      <c r="G16" s="20"/>
    </row>
    <row r="17">
      <c r="A17" s="18"/>
      <c r="G17" s="20"/>
    </row>
    <row r="18">
      <c r="A18" s="18"/>
      <c r="G18" s="20"/>
    </row>
    <row r="19">
      <c r="A19" s="18"/>
      <c r="G19" s="20"/>
    </row>
    <row r="20">
      <c r="A20" s="25"/>
      <c r="B20" s="27"/>
      <c r="C20" s="27"/>
      <c r="D20" s="27"/>
      <c r="E20" s="27"/>
      <c r="F20" s="27"/>
      <c r="G20" s="28"/>
    </row>
    <row r="22">
      <c r="A22" s="6" t="s">
        <v>19</v>
      </c>
    </row>
    <row r="23">
      <c r="A23" s="8" t="s">
        <v>20</v>
      </c>
    </row>
    <row r="24">
      <c r="A24" s="30" t="s">
        <v>21</v>
      </c>
      <c r="B24" s="30"/>
      <c r="C24" s="30"/>
      <c r="D24" s="30"/>
      <c r="E24" s="30"/>
      <c r="F24" s="30"/>
      <c r="G24" s="30"/>
    </row>
    <row r="25">
      <c r="A25" s="12"/>
      <c r="B25" s="14"/>
      <c r="C25" s="14"/>
      <c r="D25" s="14"/>
      <c r="E25" s="14"/>
      <c r="F25" s="14"/>
      <c r="G25" s="16"/>
    </row>
    <row r="26">
      <c r="A26" s="18"/>
      <c r="G26" s="20"/>
    </row>
    <row r="27">
      <c r="A27" s="18"/>
      <c r="G27" s="20"/>
    </row>
    <row r="28">
      <c r="A28" s="18"/>
      <c r="G28" s="20"/>
    </row>
    <row r="29">
      <c r="A29" s="18"/>
      <c r="G29" s="20"/>
    </row>
    <row r="30">
      <c r="A30" s="18"/>
      <c r="G30" s="20"/>
    </row>
    <row r="31">
      <c r="A31" s="18"/>
      <c r="G31" s="20"/>
    </row>
    <row r="32">
      <c r="A32" s="18"/>
      <c r="G32" s="20"/>
    </row>
    <row r="33">
      <c r="A33" s="18"/>
      <c r="G33" s="20"/>
    </row>
    <row r="34">
      <c r="A34" s="18"/>
      <c r="G34" s="20"/>
    </row>
    <row r="35">
      <c r="A35" s="18"/>
      <c r="G35" s="20"/>
    </row>
    <row r="36">
      <c r="A36" s="18"/>
      <c r="G36" s="20"/>
    </row>
    <row r="37">
      <c r="A37" s="18"/>
      <c r="G37" s="20"/>
    </row>
    <row r="38">
      <c r="A38" s="25"/>
      <c r="B38" s="27"/>
      <c r="C38" s="27"/>
      <c r="D38" s="27"/>
      <c r="E38" s="27"/>
      <c r="F38" s="27"/>
      <c r="G38" s="28"/>
    </row>
    <row r="39">
      <c r="A39" s="6"/>
    </row>
    <row r="40">
      <c r="A40" s="6" t="s">
        <v>28</v>
      </c>
    </row>
    <row r="41">
      <c r="A41" s="8" t="s">
        <v>29</v>
      </c>
    </row>
    <row r="42">
      <c r="A42" s="12"/>
      <c r="B42" s="14"/>
      <c r="C42" s="14"/>
      <c r="D42" s="14"/>
      <c r="E42" s="14"/>
      <c r="F42" s="14"/>
      <c r="G42" s="16"/>
    </row>
    <row r="43">
      <c r="A43" s="18"/>
      <c r="G43" s="20"/>
    </row>
    <row r="44">
      <c r="A44" s="18"/>
      <c r="G44" s="20"/>
    </row>
    <row r="45">
      <c r="A45" s="18"/>
      <c r="G45" s="20"/>
    </row>
    <row r="46">
      <c r="A46" s="18"/>
      <c r="G46" s="20"/>
    </row>
    <row r="47">
      <c r="A47" s="18"/>
      <c r="G47" s="20"/>
    </row>
    <row r="48">
      <c r="A48" s="18"/>
      <c r="G48" s="20"/>
    </row>
    <row r="49">
      <c r="A49" s="18"/>
      <c r="G49" s="20"/>
    </row>
    <row r="50">
      <c r="A50" s="18"/>
      <c r="G50" s="20"/>
    </row>
    <row r="51">
      <c r="A51" s="18"/>
      <c r="G51" s="20"/>
    </row>
    <row r="52">
      <c r="A52" s="18"/>
      <c r="G52" s="20"/>
    </row>
    <row r="53">
      <c r="A53" s="18"/>
      <c r="G53" s="20"/>
    </row>
    <row r="54">
      <c r="A54" s="18"/>
      <c r="G54" s="20"/>
    </row>
    <row r="55">
      <c r="A55" s="25"/>
      <c r="B55" s="27"/>
      <c r="C55" s="27"/>
      <c r="D55" s="27"/>
      <c r="E55" s="27"/>
      <c r="F55" s="27"/>
      <c r="G55" s="28"/>
    </row>
  </sheetData>
  <mergeCells count="3">
    <mergeCell ref="A7:G20"/>
    <mergeCell ref="A25:G38"/>
    <mergeCell ref="A42:G5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sheetPr>
  <sheetViews>
    <sheetView workbookViewId="0"/>
  </sheetViews>
  <sheetFormatPr customHeight="1" defaultColWidth="14.43" defaultRowHeight="15.75"/>
  <cols>
    <col customWidth="1" min="1" max="1" width="41.14"/>
    <col customWidth="1" min="2" max="2" width="17.57"/>
    <col customWidth="1" min="3" max="3" width="23.57"/>
    <col customWidth="1" min="5" max="5" width="27.14"/>
    <col customWidth="1" min="6" max="6" width="16.29"/>
    <col customWidth="1" min="8" max="8" width="29.57"/>
    <col customWidth="1" min="10" max="10" width="16.86"/>
  </cols>
  <sheetData>
    <row r="1">
      <c r="A1" s="3" t="str">
        <f>'Executive Summary'!A1</f>
        <v>[Insert Company Name Here]</v>
      </c>
      <c r="B1" s="5"/>
      <c r="C1" s="10"/>
      <c r="D1" s="5"/>
      <c r="E1" s="11" t="s">
        <v>10</v>
      </c>
    </row>
    <row r="2">
      <c r="A2" s="3" t="s">
        <v>3</v>
      </c>
      <c r="B2" s="5"/>
      <c r="C2" s="10"/>
      <c r="D2" s="5"/>
      <c r="E2" s="13" t="s">
        <v>12</v>
      </c>
    </row>
    <row r="3">
      <c r="A3" s="3" t="s">
        <v>13</v>
      </c>
      <c r="B3" s="5"/>
      <c r="C3" s="10"/>
      <c r="D3" s="5"/>
      <c r="G3" s="15"/>
      <c r="H3" s="15"/>
    </row>
    <row r="4">
      <c r="A4" s="3"/>
      <c r="B4" s="3"/>
      <c r="C4" s="3"/>
      <c r="D4" s="3"/>
      <c r="E4" s="17"/>
      <c r="F4" s="17"/>
      <c r="G4" s="17"/>
      <c r="H4" s="17"/>
    </row>
    <row r="5">
      <c r="A5" s="19"/>
      <c r="B5" s="19"/>
      <c r="C5" s="19"/>
      <c r="D5" s="19"/>
      <c r="E5" s="17"/>
      <c r="F5" s="17"/>
      <c r="G5" s="17"/>
      <c r="H5" s="17"/>
    </row>
    <row r="6">
      <c r="A6" s="22" t="s">
        <v>15</v>
      </c>
      <c r="B6" s="24"/>
      <c r="C6" s="24"/>
      <c r="D6" s="23"/>
      <c r="E6" s="31" t="s">
        <v>17</v>
      </c>
      <c r="F6" s="24"/>
      <c r="G6" s="24"/>
      <c r="H6" s="23"/>
    </row>
    <row r="7">
      <c r="A7" s="32" t="s">
        <v>23</v>
      </c>
      <c r="B7" s="32" t="s">
        <v>24</v>
      </c>
      <c r="C7" s="32" t="s">
        <v>25</v>
      </c>
      <c r="D7" s="32" t="s">
        <v>26</v>
      </c>
      <c r="E7" s="34" t="s">
        <v>27</v>
      </c>
      <c r="F7" s="32" t="s">
        <v>22</v>
      </c>
      <c r="G7" s="32" t="s">
        <v>30</v>
      </c>
      <c r="H7" s="35" t="s">
        <v>31</v>
      </c>
    </row>
    <row r="8">
      <c r="A8" s="36" t="s">
        <v>33</v>
      </c>
      <c r="B8" s="38">
        <v>275000.0</v>
      </c>
      <c r="C8" s="40" t="s">
        <v>18</v>
      </c>
      <c r="D8" s="42">
        <v>5.0</v>
      </c>
      <c r="E8" s="45" t="str">
        <f>vlookup(D8,Instructions!$A$17:$B$21,2,false)</f>
        <v>Executive / C-Suite</v>
      </c>
      <c r="F8" s="46">
        <f t="shared" ref="F8:F30" si="1">IF(C8="M",B8,"")</f>
        <v>275000</v>
      </c>
      <c r="G8" s="47" t="str">
        <f t="shared" ref="G8:G30" si="2">IF(C8="F",B8,"")</f>
        <v/>
      </c>
      <c r="H8" s="50" t="str">
        <f t="shared" ref="H8:H30" si="3">IF(C8="TG / GV",B8,"")</f>
        <v/>
      </c>
    </row>
    <row r="9">
      <c r="A9" s="36" t="s">
        <v>49</v>
      </c>
      <c r="B9" s="38">
        <v>240000.0</v>
      </c>
      <c r="C9" s="40" t="s">
        <v>18</v>
      </c>
      <c r="D9" s="42">
        <v>5.0</v>
      </c>
      <c r="E9" s="45" t="str">
        <f>vlookup(D9,Instructions!$A$17:$B$21,2,false)</f>
        <v>Executive / C-Suite</v>
      </c>
      <c r="F9" s="46">
        <f t="shared" si="1"/>
        <v>240000</v>
      </c>
      <c r="G9" s="47" t="str">
        <f t="shared" si="2"/>
        <v/>
      </c>
      <c r="H9" s="50" t="str">
        <f t="shared" si="3"/>
        <v/>
      </c>
    </row>
    <row r="10">
      <c r="A10" s="36" t="s">
        <v>51</v>
      </c>
      <c r="B10" s="38">
        <v>200000.0</v>
      </c>
      <c r="C10" s="40" t="s">
        <v>32</v>
      </c>
      <c r="D10" s="42">
        <v>5.0</v>
      </c>
      <c r="E10" s="45" t="str">
        <f>vlookup(D10,Instructions!$A$17:$B$21,2,false)</f>
        <v>Executive / C-Suite</v>
      </c>
      <c r="F10" s="47" t="str">
        <f t="shared" si="1"/>
        <v/>
      </c>
      <c r="G10" s="46">
        <f t="shared" si="2"/>
        <v>200000</v>
      </c>
      <c r="H10" s="50" t="str">
        <f t="shared" si="3"/>
        <v/>
      </c>
    </row>
    <row r="11">
      <c r="A11" s="36" t="s">
        <v>53</v>
      </c>
      <c r="B11" s="38">
        <v>150000.0</v>
      </c>
      <c r="C11" s="40" t="s">
        <v>18</v>
      </c>
      <c r="D11" s="42">
        <v>4.0</v>
      </c>
      <c r="E11" s="45" t="str">
        <f>vlookup(D11,Instructions!$A$17:$B$21,2,false)</f>
        <v>VP</v>
      </c>
      <c r="F11" s="46">
        <f t="shared" si="1"/>
        <v>150000</v>
      </c>
      <c r="G11" s="47" t="str">
        <f t="shared" si="2"/>
        <v/>
      </c>
      <c r="H11" s="50" t="str">
        <f t="shared" si="3"/>
        <v/>
      </c>
    </row>
    <row r="12">
      <c r="A12" s="36" t="s">
        <v>55</v>
      </c>
      <c r="B12" s="38">
        <v>190000.0</v>
      </c>
      <c r="C12" s="40" t="s">
        <v>18</v>
      </c>
      <c r="D12" s="42">
        <v>4.0</v>
      </c>
      <c r="E12" s="45" t="str">
        <f>vlookup(D12,Instructions!$A$17:$B$21,2,false)</f>
        <v>VP</v>
      </c>
      <c r="F12" s="46">
        <f t="shared" si="1"/>
        <v>190000</v>
      </c>
      <c r="G12" s="47" t="str">
        <f t="shared" si="2"/>
        <v/>
      </c>
      <c r="H12" s="50" t="str">
        <f t="shared" si="3"/>
        <v/>
      </c>
    </row>
    <row r="13">
      <c r="A13" s="36" t="s">
        <v>56</v>
      </c>
      <c r="B13" s="38">
        <v>200000.0</v>
      </c>
      <c r="C13" s="40" t="s">
        <v>32</v>
      </c>
      <c r="D13" s="42">
        <v>4.0</v>
      </c>
      <c r="E13" s="45" t="str">
        <f>vlookup(D13,Instructions!$A$17:$B$21,2,false)</f>
        <v>VP</v>
      </c>
      <c r="F13" s="47" t="str">
        <f t="shared" si="1"/>
        <v/>
      </c>
      <c r="G13" s="46">
        <f t="shared" si="2"/>
        <v>200000</v>
      </c>
      <c r="H13" s="50" t="str">
        <f t="shared" si="3"/>
        <v/>
      </c>
    </row>
    <row r="14">
      <c r="A14" s="36" t="s">
        <v>57</v>
      </c>
      <c r="B14" s="38">
        <v>100000.0</v>
      </c>
      <c r="C14" s="40" t="s">
        <v>32</v>
      </c>
      <c r="D14" s="42">
        <v>3.0</v>
      </c>
      <c r="E14" s="45" t="str">
        <f>vlookup(D14,Instructions!$A$17:$B$21,2,false)</f>
        <v>Director</v>
      </c>
      <c r="F14" s="47" t="str">
        <f t="shared" si="1"/>
        <v/>
      </c>
      <c r="G14" s="46">
        <f t="shared" si="2"/>
        <v>100000</v>
      </c>
      <c r="H14" s="50" t="str">
        <f t="shared" si="3"/>
        <v/>
      </c>
    </row>
    <row r="15">
      <c r="A15" s="36" t="s">
        <v>58</v>
      </c>
      <c r="B15" s="38">
        <v>130000.0</v>
      </c>
      <c r="C15" s="40" t="s">
        <v>18</v>
      </c>
      <c r="D15" s="42">
        <v>3.0</v>
      </c>
      <c r="E15" s="45" t="str">
        <f>vlookup(D15,Instructions!$A$17:$B$21,2,false)</f>
        <v>Director</v>
      </c>
      <c r="F15" s="46">
        <f t="shared" si="1"/>
        <v>130000</v>
      </c>
      <c r="G15" s="47" t="str">
        <f t="shared" si="2"/>
        <v/>
      </c>
      <c r="H15" s="50" t="str">
        <f t="shared" si="3"/>
        <v/>
      </c>
    </row>
    <row r="16">
      <c r="A16" s="36" t="s">
        <v>59</v>
      </c>
      <c r="B16" s="38">
        <v>140000.0</v>
      </c>
      <c r="C16" s="40" t="s">
        <v>18</v>
      </c>
      <c r="D16" s="42">
        <v>3.0</v>
      </c>
      <c r="E16" s="45" t="str">
        <f>vlookup(D16,Instructions!$A$17:$B$21,2,false)</f>
        <v>Director</v>
      </c>
      <c r="F16" s="46">
        <f t="shared" si="1"/>
        <v>140000</v>
      </c>
      <c r="G16" s="47" t="str">
        <f t="shared" si="2"/>
        <v/>
      </c>
      <c r="H16" s="50" t="str">
        <f t="shared" si="3"/>
        <v/>
      </c>
    </row>
    <row r="17">
      <c r="A17" s="36" t="s">
        <v>61</v>
      </c>
      <c r="B17" s="38">
        <v>150000.0</v>
      </c>
      <c r="C17" s="40" t="s">
        <v>18</v>
      </c>
      <c r="D17" s="42">
        <v>3.0</v>
      </c>
      <c r="E17" s="45" t="str">
        <f>vlookup(D17,Instructions!$A$17:$B$21,2,false)</f>
        <v>Director</v>
      </c>
      <c r="F17" s="46">
        <f t="shared" si="1"/>
        <v>150000</v>
      </c>
      <c r="G17" s="47" t="str">
        <f t="shared" si="2"/>
        <v/>
      </c>
      <c r="H17" s="50" t="str">
        <f t="shared" si="3"/>
        <v/>
      </c>
    </row>
    <row r="18">
      <c r="A18" s="36" t="s">
        <v>62</v>
      </c>
      <c r="B18" s="38">
        <v>90000.0</v>
      </c>
      <c r="C18" s="40" t="s">
        <v>32</v>
      </c>
      <c r="D18" s="42">
        <v>3.0</v>
      </c>
      <c r="E18" s="45" t="str">
        <f>vlookup(D18,Instructions!$A$17:$B$21,2,false)</f>
        <v>Director</v>
      </c>
      <c r="F18" s="47" t="str">
        <f t="shared" si="1"/>
        <v/>
      </c>
      <c r="G18" s="46">
        <f t="shared" si="2"/>
        <v>90000</v>
      </c>
      <c r="H18" s="50" t="str">
        <f t="shared" si="3"/>
        <v/>
      </c>
    </row>
    <row r="19">
      <c r="A19" s="36" t="s">
        <v>63</v>
      </c>
      <c r="B19" s="38">
        <v>110000.0</v>
      </c>
      <c r="C19" s="40" t="s">
        <v>32</v>
      </c>
      <c r="D19" s="42">
        <v>2.0</v>
      </c>
      <c r="E19" s="45" t="str">
        <f>vlookup(D19,Instructions!$A$17:$B$21,2,false)</f>
        <v>Manager</v>
      </c>
      <c r="F19" s="47" t="str">
        <f t="shared" si="1"/>
        <v/>
      </c>
      <c r="G19" s="46">
        <f t="shared" si="2"/>
        <v>110000</v>
      </c>
      <c r="H19" s="50" t="str">
        <f t="shared" si="3"/>
        <v/>
      </c>
    </row>
    <row r="20">
      <c r="A20" s="36" t="s">
        <v>64</v>
      </c>
      <c r="B20" s="38">
        <v>120000.0</v>
      </c>
      <c r="C20" s="40" t="s">
        <v>32</v>
      </c>
      <c r="D20" s="42">
        <v>2.0</v>
      </c>
      <c r="E20" s="45" t="str">
        <f>vlookup(D20,Instructions!$A$17:$B$21,2,false)</f>
        <v>Manager</v>
      </c>
      <c r="F20" s="47" t="str">
        <f t="shared" si="1"/>
        <v/>
      </c>
      <c r="G20" s="46">
        <f t="shared" si="2"/>
        <v>120000</v>
      </c>
      <c r="H20" s="50" t="str">
        <f t="shared" si="3"/>
        <v/>
      </c>
    </row>
    <row r="21">
      <c r="A21" s="36" t="s">
        <v>65</v>
      </c>
      <c r="B21" s="38">
        <v>125000.0</v>
      </c>
      <c r="C21" s="40" t="s">
        <v>34</v>
      </c>
      <c r="D21" s="42">
        <v>2.0</v>
      </c>
      <c r="E21" s="45" t="str">
        <f>vlookup(D21,Instructions!$A$17:$B$21,2,false)</f>
        <v>Manager</v>
      </c>
      <c r="F21" s="47" t="str">
        <f t="shared" si="1"/>
        <v/>
      </c>
      <c r="G21" s="47" t="str">
        <f t="shared" si="2"/>
        <v/>
      </c>
      <c r="H21" s="51">
        <f t="shared" si="3"/>
        <v>125000</v>
      </c>
    </row>
    <row r="22">
      <c r="A22" s="36" t="s">
        <v>66</v>
      </c>
      <c r="B22" s="38">
        <v>140000.0</v>
      </c>
      <c r="C22" s="40" t="s">
        <v>18</v>
      </c>
      <c r="D22" s="42">
        <v>2.0</v>
      </c>
      <c r="E22" s="45" t="str">
        <f>vlookup(D22,Instructions!$A$17:$B$21,2,false)</f>
        <v>Manager</v>
      </c>
      <c r="F22" s="46">
        <f t="shared" si="1"/>
        <v>140000</v>
      </c>
      <c r="G22" s="47" t="str">
        <f t="shared" si="2"/>
        <v/>
      </c>
      <c r="H22" s="50" t="str">
        <f t="shared" si="3"/>
        <v/>
      </c>
    </row>
    <row r="23">
      <c r="A23" s="36" t="s">
        <v>67</v>
      </c>
      <c r="B23" s="38">
        <v>50000.0</v>
      </c>
      <c r="C23" s="40" t="s">
        <v>18</v>
      </c>
      <c r="D23" s="42">
        <v>1.0</v>
      </c>
      <c r="E23" s="45" t="str">
        <f>vlookup(D23,Instructions!$A$17:$B$21,2,false)</f>
        <v>Other</v>
      </c>
      <c r="F23" s="46">
        <f t="shared" si="1"/>
        <v>50000</v>
      </c>
      <c r="G23" s="47" t="str">
        <f t="shared" si="2"/>
        <v/>
      </c>
      <c r="H23" s="50" t="str">
        <f t="shared" si="3"/>
        <v/>
      </c>
    </row>
    <row r="24">
      <c r="A24" s="36" t="s">
        <v>68</v>
      </c>
      <c r="B24" s="38">
        <v>32500.0</v>
      </c>
      <c r="C24" s="40" t="s">
        <v>32</v>
      </c>
      <c r="D24" s="42">
        <v>1.0</v>
      </c>
      <c r="E24" s="45" t="str">
        <f>vlookup(D24,Instructions!$A$17:$B$21,2,false)</f>
        <v>Other</v>
      </c>
      <c r="F24" s="47" t="str">
        <f t="shared" si="1"/>
        <v/>
      </c>
      <c r="G24" s="46">
        <f t="shared" si="2"/>
        <v>32500</v>
      </c>
      <c r="H24" s="50" t="str">
        <f t="shared" si="3"/>
        <v/>
      </c>
    </row>
    <row r="25">
      <c r="A25" s="36" t="s">
        <v>69</v>
      </c>
      <c r="B25" s="38">
        <v>70000.0</v>
      </c>
      <c r="C25" s="40" t="s">
        <v>34</v>
      </c>
      <c r="D25" s="42">
        <v>1.0</v>
      </c>
      <c r="E25" s="45" t="str">
        <f>vlookup(D25,Instructions!$A$17:$B$21,2,false)</f>
        <v>Other</v>
      </c>
      <c r="F25" s="47" t="str">
        <f t="shared" si="1"/>
        <v/>
      </c>
      <c r="G25" s="47" t="str">
        <f t="shared" si="2"/>
        <v/>
      </c>
      <c r="H25" s="51">
        <f t="shared" si="3"/>
        <v>70000</v>
      </c>
    </row>
    <row r="26">
      <c r="A26" s="36" t="s">
        <v>70</v>
      </c>
      <c r="B26" s="38">
        <v>80000.0</v>
      </c>
      <c r="C26" s="40" t="s">
        <v>32</v>
      </c>
      <c r="D26" s="42">
        <v>1.0</v>
      </c>
      <c r="E26" s="45" t="str">
        <f>vlookup(D26,Instructions!$A$17:$B$21,2,false)</f>
        <v>Other</v>
      </c>
      <c r="F26" s="47" t="str">
        <f t="shared" si="1"/>
        <v/>
      </c>
      <c r="G26" s="46">
        <f t="shared" si="2"/>
        <v>80000</v>
      </c>
      <c r="H26" s="50" t="str">
        <f t="shared" si="3"/>
        <v/>
      </c>
    </row>
    <row r="27">
      <c r="A27" s="36" t="s">
        <v>71</v>
      </c>
      <c r="B27" s="38">
        <v>40000.0</v>
      </c>
      <c r="C27" s="40" t="s">
        <v>18</v>
      </c>
      <c r="D27" s="42">
        <v>1.0</v>
      </c>
      <c r="E27" s="45" t="str">
        <f>vlookup(D27,Instructions!$A$17:$B$21,2,false)</f>
        <v>Other</v>
      </c>
      <c r="F27" s="46">
        <f t="shared" si="1"/>
        <v>40000</v>
      </c>
      <c r="G27" s="47" t="str">
        <f t="shared" si="2"/>
        <v/>
      </c>
      <c r="H27" s="50" t="str">
        <f t="shared" si="3"/>
        <v/>
      </c>
    </row>
    <row r="28">
      <c r="A28" s="36" t="s">
        <v>72</v>
      </c>
      <c r="B28" s="38">
        <v>100000.0</v>
      </c>
      <c r="C28" s="40" t="s">
        <v>32</v>
      </c>
      <c r="D28" s="42">
        <v>1.0</v>
      </c>
      <c r="E28" s="45" t="str">
        <f>vlookup(D28,Instructions!$A$17:$B$21,2,false)</f>
        <v>Other</v>
      </c>
      <c r="F28" s="47" t="str">
        <f t="shared" si="1"/>
        <v/>
      </c>
      <c r="G28" s="46">
        <f t="shared" si="2"/>
        <v>100000</v>
      </c>
      <c r="H28" s="50" t="str">
        <f t="shared" si="3"/>
        <v/>
      </c>
    </row>
    <row r="29">
      <c r="A29" s="36" t="s">
        <v>73</v>
      </c>
      <c r="B29" s="38">
        <v>85000.0</v>
      </c>
      <c r="C29" s="40" t="s">
        <v>18</v>
      </c>
      <c r="D29" s="42">
        <v>1.0</v>
      </c>
      <c r="E29" s="45" t="str">
        <f>vlookup(D29,Instructions!$A$17:$B$21,2,false)</f>
        <v>Other</v>
      </c>
      <c r="F29" s="46">
        <f t="shared" si="1"/>
        <v>85000</v>
      </c>
      <c r="G29" s="47" t="str">
        <f t="shared" si="2"/>
        <v/>
      </c>
      <c r="H29" s="50" t="str">
        <f t="shared" si="3"/>
        <v/>
      </c>
    </row>
    <row r="30">
      <c r="A30" s="52" t="s">
        <v>74</v>
      </c>
      <c r="B30" s="38">
        <v>95000.0</v>
      </c>
      <c r="C30" s="40" t="s">
        <v>32</v>
      </c>
      <c r="D30" s="42">
        <v>1.0</v>
      </c>
      <c r="E30" s="53" t="str">
        <f>vlookup(D30,Instructions!$A$17:$B$21,2,false)</f>
        <v>Other</v>
      </c>
      <c r="F30" s="54" t="str">
        <f t="shared" si="1"/>
        <v/>
      </c>
      <c r="G30" s="55">
        <f t="shared" si="2"/>
        <v>95000</v>
      </c>
      <c r="H30" s="56" t="str">
        <f t="shared" si="3"/>
        <v/>
      </c>
    </row>
    <row r="32">
      <c r="E32" s="17"/>
      <c r="F32" s="17"/>
      <c r="G32" s="17"/>
    </row>
    <row r="33">
      <c r="D33" s="57"/>
    </row>
    <row r="34">
      <c r="D34" s="57"/>
    </row>
    <row r="35">
      <c r="D35" s="57"/>
    </row>
    <row r="36">
      <c r="D36" s="57"/>
    </row>
    <row r="37">
      <c r="D37" s="57"/>
    </row>
    <row r="38">
      <c r="D38" s="57"/>
    </row>
    <row r="39">
      <c r="D39" s="57"/>
    </row>
    <row r="40">
      <c r="D40" s="57"/>
    </row>
    <row r="41">
      <c r="D41" s="57"/>
    </row>
    <row r="42">
      <c r="D42" s="57"/>
    </row>
    <row r="43">
      <c r="D43" s="57"/>
    </row>
    <row r="68">
      <c r="C68" s="10" t="s">
        <v>21</v>
      </c>
    </row>
  </sheetData>
  <mergeCells count="2">
    <mergeCell ref="A6:D6"/>
    <mergeCell ref="E6:H6"/>
  </mergeCells>
  <dataValidations>
    <dataValidation type="list" allowBlank="1" showErrorMessage="1" sqref="C8:C30">
      <formula1>Instructions!$A$11:$A$13</formula1>
    </dataValidation>
    <dataValidation type="decimal" allowBlank="1" showDropDown="1" showInputMessage="1" showErrorMessage="1" prompt="Input must be numerical" sqref="B8:B30">
      <formula1>1.0</formula1>
      <formula2>9.9999999999999E13</formula2>
    </dataValidation>
    <dataValidation type="list" allowBlank="1" sqref="D8:D30">
      <formula1>Instructions!$A$17:$A$21</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4.0"/>
    <col customWidth="1" min="2" max="2" width="24.71"/>
    <col customWidth="1" min="3" max="3" width="19.29"/>
    <col customWidth="1" min="4" max="4" width="24.0"/>
    <col customWidth="1" min="5" max="5" width="20.29"/>
    <col customWidth="1" min="7" max="7" width="17.0"/>
  </cols>
  <sheetData>
    <row r="1">
      <c r="A1" s="10" t="s">
        <v>41</v>
      </c>
      <c r="B1" s="10" t="s">
        <v>42</v>
      </c>
      <c r="C1" s="10" t="s">
        <v>18</v>
      </c>
      <c r="D1" s="10" t="s">
        <v>32</v>
      </c>
      <c r="E1" s="10" t="s">
        <v>43</v>
      </c>
      <c r="G1" s="43" t="s">
        <v>44</v>
      </c>
    </row>
    <row r="2">
      <c r="A2" s="44">
        <v>0.0</v>
      </c>
      <c r="B2" s="2">
        <f t="shared" ref="B2:B15" si="1">normdist(A2,$H$2,$H$5,false)</f>
        <v>0.0000007429648989</v>
      </c>
      <c r="C2" s="2">
        <f t="shared" ref="C2:C15" si="2">NORMDIST(A2,$H$8,$H$11,false)</f>
        <v>0.0000006349824136</v>
      </c>
      <c r="D2" s="2">
        <f t="shared" ref="D2:D15" si="3">NORMDIST(A2,$H$14,$H$17,false)</f>
        <v>0.0000005739423095</v>
      </c>
      <c r="E2" s="2">
        <f t="shared" ref="E2:E15" si="4">NORMDIST(A2,$H$20,$H$23,false)</f>
        <v>0.00000002703850749</v>
      </c>
      <c r="G2" s="10" t="s">
        <v>48</v>
      </c>
      <c r="H2" s="48">
        <f>AVERAGE('1) - Data Entry'!$B$8:$B$1000)</f>
        <v>126630.4348</v>
      </c>
    </row>
    <row r="3">
      <c r="A3" s="49">
        <v>25000.0</v>
      </c>
      <c r="B3" s="2">
        <f t="shared" si="1"/>
        <v>0.000001614630883</v>
      </c>
      <c r="C3" s="2">
        <f t="shared" si="2"/>
        <v>0.000001277875056</v>
      </c>
      <c r="D3" s="2">
        <f t="shared" si="3"/>
        <v>0.000001633914761</v>
      </c>
      <c r="E3" s="2">
        <f t="shared" si="4"/>
        <v>0.0000004490702833</v>
      </c>
      <c r="G3" s="10" t="s">
        <v>50</v>
      </c>
      <c r="H3" s="48">
        <f>MEDIAN('1) - Data Entry'!$B$8:$B$1000)</f>
        <v>120000</v>
      </c>
    </row>
    <row r="4">
      <c r="A4" s="49">
        <v>50000.0</v>
      </c>
      <c r="B4" s="2">
        <f t="shared" si="1"/>
        <v>0.000002960303066</v>
      </c>
      <c r="C4" s="2">
        <f t="shared" si="2"/>
        <v>0.000002252739087</v>
      </c>
      <c r="D4" s="2">
        <f t="shared" si="3"/>
        <v>0.000003583302977</v>
      </c>
      <c r="E4" s="2">
        <f t="shared" si="4"/>
        <v>0.000003263809932</v>
      </c>
      <c r="G4" s="10" t="s">
        <v>52</v>
      </c>
      <c r="H4" s="48">
        <f>MODE('1) - Data Entry'!$B$8:$B$1000)</f>
        <v>200000</v>
      </c>
    </row>
    <row r="5">
      <c r="A5" s="49">
        <v>75000.0</v>
      </c>
      <c r="B5" s="2">
        <f t="shared" si="1"/>
        <v>0.000004578856747</v>
      </c>
      <c r="C5" s="2">
        <f t="shared" si="2"/>
        <v>0.000003478797928</v>
      </c>
      <c r="D5" s="2">
        <f t="shared" si="3"/>
        <v>0.000006053835882</v>
      </c>
      <c r="E5" s="2">
        <f t="shared" si="4"/>
        <v>0.00001038040607</v>
      </c>
      <c r="G5" s="10" t="s">
        <v>54</v>
      </c>
      <c r="H5" s="48">
        <f>STDEVP('1) - Data Entry'!$B$8:$B$1000)</f>
        <v>60628.98887</v>
      </c>
    </row>
    <row r="6">
      <c r="A6" s="49">
        <v>100000.0</v>
      </c>
      <c r="B6" s="2">
        <f t="shared" si="1"/>
        <v>0.000005974972345</v>
      </c>
      <c r="C6" s="2">
        <f t="shared" si="2"/>
        <v>0.000004705906752</v>
      </c>
      <c r="D6" s="2">
        <f t="shared" si="3"/>
        <v>0.000007878993364</v>
      </c>
      <c r="E6" s="2">
        <f t="shared" si="4"/>
        <v>0.00001444716945</v>
      </c>
    </row>
    <row r="7">
      <c r="A7" s="49">
        <v>125000.0</v>
      </c>
      <c r="B7" s="2">
        <f t="shared" si="1"/>
        <v>0.000006577679431</v>
      </c>
      <c r="C7" s="2">
        <f t="shared" si="2"/>
        <v>0.000005576391265</v>
      </c>
      <c r="D7" s="2">
        <f t="shared" si="3"/>
        <v>0.000007899576422</v>
      </c>
      <c r="E7" s="2">
        <f t="shared" si="4"/>
        <v>0.000008798935437</v>
      </c>
      <c r="G7" s="43" t="s">
        <v>22</v>
      </c>
    </row>
    <row r="8">
      <c r="A8" s="49">
        <v>150000.0</v>
      </c>
      <c r="B8" s="2">
        <f t="shared" si="1"/>
        <v>0.000006108962649</v>
      </c>
      <c r="C8" s="2">
        <f t="shared" si="2"/>
        <v>0.000005788405741</v>
      </c>
      <c r="D8" s="2">
        <f t="shared" si="3"/>
        <v>0.000006101405003</v>
      </c>
      <c r="E8" s="2">
        <f t="shared" si="4"/>
        <v>0.000002345073375</v>
      </c>
      <c r="G8" s="10" t="s">
        <v>48</v>
      </c>
      <c r="H8" s="48">
        <f>AVERAGE('1) - Data Entry'!$F$8:$F$1000)</f>
        <v>144545.4545</v>
      </c>
    </row>
    <row r="9">
      <c r="A9" s="49">
        <v>175000.0</v>
      </c>
      <c r="B9" s="2">
        <f t="shared" si="1"/>
        <v>0.000004786523517</v>
      </c>
      <c r="C9" s="2">
        <f t="shared" si="2"/>
        <v>0.000005263328776</v>
      </c>
      <c r="D9" s="2">
        <f t="shared" si="3"/>
        <v>0.000003630353212</v>
      </c>
      <c r="E9" s="2">
        <f t="shared" si="4"/>
        <v>0.00000027350274</v>
      </c>
      <c r="G9" s="10" t="s">
        <v>50</v>
      </c>
      <c r="H9" s="48">
        <f>MEDIAN('1) - Data Entry'!$F$8:$F$1000)</f>
        <v>140000</v>
      </c>
    </row>
    <row r="10">
      <c r="A10" s="49">
        <v>200000.0</v>
      </c>
      <c r="B10" s="2">
        <f t="shared" si="1"/>
        <v>0.000003163959282</v>
      </c>
      <c r="C10" s="2">
        <f t="shared" si="2"/>
        <v>0.000004192352959</v>
      </c>
      <c r="D10" s="2">
        <f t="shared" si="3"/>
        <v>0.000001664028989</v>
      </c>
      <c r="E10" s="2">
        <f t="shared" si="4"/>
        <v>0.00000001395872873</v>
      </c>
      <c r="G10" s="10" t="s">
        <v>52</v>
      </c>
      <c r="H10" s="48">
        <f>MODE('1) - Data Entry'!$F$8:$F$1000)</f>
        <v>150000</v>
      </c>
    </row>
    <row r="11">
      <c r="A11" s="49">
        <v>225000.0</v>
      </c>
      <c r="B11" s="2">
        <f t="shared" si="1"/>
        <v>0.000001764410103</v>
      </c>
      <c r="C11" s="2">
        <f t="shared" si="2"/>
        <v>0.000002925169157</v>
      </c>
      <c r="D11" s="2">
        <f t="shared" si="3"/>
        <v>0.0000005875784684</v>
      </c>
      <c r="E11" s="2">
        <f t="shared" si="4"/>
        <v>0.0000000003117518176</v>
      </c>
      <c r="G11" s="10" t="s">
        <v>54</v>
      </c>
      <c r="H11" s="48">
        <f>STDEVP('1) - Data Entry'!$F$8:$F$1000)</f>
        <v>68704.06053</v>
      </c>
    </row>
    <row r="12">
      <c r="A12" s="49">
        <v>250000.0</v>
      </c>
      <c r="B12" s="2">
        <f t="shared" si="1"/>
        <v>0.0000008300918453</v>
      </c>
      <c r="C12" s="2">
        <f t="shared" si="2"/>
        <v>0.000001787886472</v>
      </c>
      <c r="D12" s="2">
        <f t="shared" si="3"/>
        <v>0.0000001598320378</v>
      </c>
      <c r="E12" s="2">
        <f t="shared" si="4"/>
        <v>0</v>
      </c>
    </row>
    <row r="13">
      <c r="A13" s="49">
        <v>275000.0</v>
      </c>
      <c r="B13" s="2">
        <f t="shared" si="1"/>
        <v>0.0000003294660889</v>
      </c>
      <c r="C13" s="2">
        <f t="shared" si="2"/>
        <v>0.0000009572485067</v>
      </c>
      <c r="D13" s="2">
        <f t="shared" si="3"/>
        <v>0.00000003349305627</v>
      </c>
      <c r="E13" s="2">
        <f t="shared" si="4"/>
        <v>0</v>
      </c>
      <c r="G13" s="43" t="s">
        <v>30</v>
      </c>
      <c r="H13" s="48"/>
    </row>
    <row r="14">
      <c r="A14" s="49">
        <v>300000.0</v>
      </c>
      <c r="B14" s="2">
        <f t="shared" si="1"/>
        <v>0.0000001103197464</v>
      </c>
      <c r="C14" s="2">
        <f t="shared" si="2"/>
        <v>0.0000004489575331</v>
      </c>
      <c r="D14" s="2">
        <f t="shared" si="3"/>
        <v>0.00000000540678002</v>
      </c>
      <c r="E14" s="2">
        <f t="shared" si="4"/>
        <v>0</v>
      </c>
      <c r="G14" s="10" t="s">
        <v>48</v>
      </c>
      <c r="H14" s="48">
        <f>AVERAGE('1) - Data Entry'!$G$8:$G$1000)</f>
        <v>112750</v>
      </c>
    </row>
    <row r="15">
      <c r="A15" s="49">
        <v>325000.0</v>
      </c>
      <c r="B15" s="2">
        <f t="shared" si="1"/>
        <v>0.00000003116403982</v>
      </c>
      <c r="C15" s="2">
        <f t="shared" si="2"/>
        <v>0.0000001844512637</v>
      </c>
      <c r="D15" s="2">
        <f t="shared" si="3"/>
        <v>0.0000000006723812592</v>
      </c>
      <c r="E15" s="2">
        <f t="shared" si="4"/>
        <v>0</v>
      </c>
      <c r="G15" s="10" t="s">
        <v>50</v>
      </c>
      <c r="H15" s="48">
        <f>MEDIAN('1) - Data Entry'!$G$8:$G$1000)</f>
        <v>100000</v>
      </c>
    </row>
    <row r="16">
      <c r="G16" s="10" t="s">
        <v>52</v>
      </c>
      <c r="H16" s="48">
        <f>MODE('1) - Data Entry'!$G$8:$G$1000)</f>
        <v>200000</v>
      </c>
    </row>
    <row r="17">
      <c r="G17" s="10" t="s">
        <v>54</v>
      </c>
      <c r="H17" s="48">
        <f>STDEVP('1) - Data Entry'!$G$8:$G$1000)</f>
        <v>48944.48386</v>
      </c>
    </row>
    <row r="19">
      <c r="G19" s="43" t="s">
        <v>60</v>
      </c>
    </row>
    <row r="20">
      <c r="G20" s="10" t="s">
        <v>48</v>
      </c>
      <c r="H20" s="48">
        <f>AVERAGE('1) - Data Entry'!$H$8:$H$1000)</f>
        <v>97500</v>
      </c>
    </row>
    <row r="21">
      <c r="G21" s="10" t="s">
        <v>50</v>
      </c>
      <c r="H21" s="48">
        <f>MEDIAN('1) - Data Entry'!$H$8:$H$1000)</f>
        <v>97500</v>
      </c>
    </row>
    <row r="22">
      <c r="G22" s="10" t="s">
        <v>52</v>
      </c>
      <c r="H22" s="48" t="str">
        <f>MODE('1) - Data Entry'!$H$8:$H$1000)</f>
        <v>#N/A</v>
      </c>
    </row>
    <row r="23">
      <c r="G23" s="10" t="s">
        <v>54</v>
      </c>
      <c r="H23" s="48">
        <f>STDEVP('1) - Data Entry'!$H$8:$H$1000)</f>
        <v>27500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sheetViews>
  <sheetFormatPr customHeight="1" defaultColWidth="14.43" defaultRowHeight="15.75"/>
  <sheetData>
    <row r="1">
      <c r="A1" s="58" t="s">
        <v>75</v>
      </c>
      <c r="B1" s="14"/>
      <c r="C1" s="14"/>
      <c r="D1" s="14"/>
      <c r="E1" s="14"/>
      <c r="F1" s="14"/>
      <c r="G1" s="14"/>
      <c r="H1" s="14"/>
      <c r="I1" s="16"/>
    </row>
    <row r="2">
      <c r="A2" s="18"/>
      <c r="I2" s="20"/>
    </row>
    <row r="3">
      <c r="A3" s="18"/>
      <c r="I3" s="20"/>
    </row>
    <row r="4">
      <c r="A4" s="18"/>
      <c r="I4" s="20"/>
    </row>
    <row r="5">
      <c r="A5" s="18"/>
      <c r="I5" s="20"/>
    </row>
    <row r="6">
      <c r="A6" s="18"/>
      <c r="I6" s="20"/>
    </row>
    <row r="7">
      <c r="A7" s="18"/>
      <c r="I7" s="20"/>
    </row>
    <row r="8">
      <c r="A8" s="18"/>
      <c r="I8" s="20"/>
    </row>
    <row r="9">
      <c r="A9" s="18"/>
      <c r="I9" s="20"/>
    </row>
    <row r="10">
      <c r="A10" s="18"/>
      <c r="I10" s="20"/>
    </row>
    <row r="11" ht="60.0" customHeight="1">
      <c r="A11" s="25"/>
      <c r="B11" s="27"/>
      <c r="C11" s="27"/>
      <c r="D11" s="27"/>
      <c r="E11" s="27"/>
      <c r="F11" s="27"/>
      <c r="G11" s="27"/>
      <c r="H11" s="27"/>
      <c r="I11" s="28"/>
    </row>
  </sheetData>
  <mergeCells count="1">
    <mergeCell ref="A1:I1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sheetViews>
  <sheetFormatPr customHeight="1" defaultColWidth="14.43" defaultRowHeight="15.75"/>
  <cols>
    <col customWidth="1" min="9" max="9" width="21.43"/>
  </cols>
  <sheetData>
    <row r="1">
      <c r="A1" s="58" t="s">
        <v>76</v>
      </c>
      <c r="B1" s="14"/>
      <c r="C1" s="14"/>
      <c r="D1" s="14"/>
      <c r="E1" s="14"/>
      <c r="F1" s="14"/>
      <c r="G1" s="14"/>
      <c r="H1" s="14"/>
      <c r="I1" s="16"/>
    </row>
    <row r="2">
      <c r="A2" s="18"/>
      <c r="I2" s="20"/>
    </row>
    <row r="3">
      <c r="A3" s="18"/>
      <c r="I3" s="20"/>
    </row>
    <row r="4">
      <c r="A4" s="18"/>
      <c r="I4" s="20"/>
    </row>
    <row r="5">
      <c r="A5" s="18"/>
      <c r="I5" s="20"/>
    </row>
    <row r="6">
      <c r="A6" s="18"/>
      <c r="I6" s="20"/>
    </row>
    <row r="7">
      <c r="A7" s="18"/>
      <c r="I7" s="20"/>
    </row>
    <row r="8">
      <c r="A8" s="18"/>
      <c r="I8" s="20"/>
    </row>
    <row r="9">
      <c r="A9" s="18"/>
      <c r="I9" s="20"/>
    </row>
    <row r="10">
      <c r="A10" s="18"/>
      <c r="I10" s="20"/>
    </row>
    <row r="11" ht="83.25" customHeight="1">
      <c r="A11" s="25"/>
      <c r="B11" s="27"/>
      <c r="C11" s="27"/>
      <c r="D11" s="27"/>
      <c r="E11" s="27"/>
      <c r="F11" s="27"/>
      <c r="G11" s="27"/>
      <c r="H11" s="27"/>
      <c r="I11" s="28"/>
    </row>
  </sheetData>
  <mergeCells count="1">
    <mergeCell ref="A1:I1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66666"/>
    <outlinePr summaryBelow="0" summaryRight="0"/>
  </sheetPr>
  <sheetViews>
    <sheetView workbookViewId="0"/>
  </sheetViews>
  <sheetFormatPr customHeight="1" defaultColWidth="14.43" defaultRowHeight="15.75"/>
  <cols>
    <col customWidth="1" min="1" max="1" width="58.0"/>
    <col customWidth="1" min="2" max="2" width="16.57"/>
    <col customWidth="1" min="6" max="6" width="18.43"/>
  </cols>
  <sheetData>
    <row r="1">
      <c r="A1" s="3" t="str">
        <f>'Executive Summary'!A1</f>
        <v>[Insert Company Name Here]</v>
      </c>
    </row>
    <row r="2">
      <c r="A2" s="3" t="s">
        <v>3</v>
      </c>
    </row>
    <row r="3">
      <c r="A3" s="3" t="s">
        <v>77</v>
      </c>
    </row>
    <row r="4">
      <c r="A4" s="3"/>
    </row>
    <row r="5">
      <c r="A5" s="43" t="s">
        <v>78</v>
      </c>
    </row>
    <row r="6">
      <c r="A6" s="60" t="s">
        <v>79</v>
      </c>
    </row>
    <row r="8">
      <c r="A8" s="62" t="s">
        <v>81</v>
      </c>
      <c r="B8" s="63" t="s">
        <v>83</v>
      </c>
      <c r="C8" s="63" t="s">
        <v>84</v>
      </c>
    </row>
    <row r="9">
      <c r="A9" s="64" t="s">
        <v>32</v>
      </c>
      <c r="B9" s="64">
        <f>COUNTIF('1) - Data Entry'!$C$8:$C$1000,"F")</f>
        <v>10</v>
      </c>
      <c r="C9" s="66">
        <f t="shared" ref="C9:C11" si="1">B9/$B$12</f>
        <v>0.4761904762</v>
      </c>
    </row>
    <row r="10">
      <c r="A10" s="33" t="s">
        <v>34</v>
      </c>
      <c r="B10" s="64">
        <f>COUNTIF('1) - Data Entry'!$C$8:$C$1000,"NB")</f>
        <v>0</v>
      </c>
      <c r="C10" s="66">
        <f t="shared" si="1"/>
        <v>0</v>
      </c>
    </row>
    <row r="11">
      <c r="A11" s="64" t="s">
        <v>18</v>
      </c>
      <c r="B11" s="64">
        <f>COUNTIF('1) - Data Entry'!$C$8:$C$1000,"M")</f>
        <v>11</v>
      </c>
      <c r="C11" s="66">
        <f t="shared" si="1"/>
        <v>0.5238095238</v>
      </c>
    </row>
    <row r="12">
      <c r="A12" s="67" t="s">
        <v>87</v>
      </c>
      <c r="B12" s="68">
        <f>sum(B9:B11)</f>
        <v>21</v>
      </c>
      <c r="C12" s="69"/>
    </row>
    <row r="15">
      <c r="A15" s="70" t="s">
        <v>88</v>
      </c>
      <c r="B15" s="71"/>
      <c r="C15" s="71"/>
    </row>
    <row r="16">
      <c r="A16" s="72" t="s">
        <v>89</v>
      </c>
    </row>
    <row r="18">
      <c r="A18" s="10"/>
      <c r="B18" s="17"/>
      <c r="C18" s="17"/>
      <c r="D18" s="17"/>
      <c r="E18" s="17"/>
      <c r="F18" s="17"/>
      <c r="G18" s="17"/>
      <c r="H18" s="17"/>
      <c r="I18" s="17"/>
      <c r="J18" s="17"/>
      <c r="K18" s="17"/>
    </row>
    <row r="19">
      <c r="A19" s="73" t="s">
        <v>81</v>
      </c>
      <c r="B19" s="74" t="str">
        <f>Instructions!B17</f>
        <v>Other</v>
      </c>
      <c r="C19" s="23"/>
      <c r="D19" s="74" t="str">
        <f>Instructions!B18</f>
        <v>Manager</v>
      </c>
      <c r="E19" s="23"/>
      <c r="F19" s="74" t="str">
        <f>Instructions!B19</f>
        <v>Director</v>
      </c>
      <c r="G19" s="23"/>
      <c r="H19" s="74" t="str">
        <f>Instructions!B20</f>
        <v>VP</v>
      </c>
      <c r="I19" s="23"/>
      <c r="J19" s="74" t="str">
        <f>Instructions!B21</f>
        <v>Executive / C-Suite</v>
      </c>
      <c r="K19" s="23"/>
    </row>
    <row r="20">
      <c r="A20" s="75"/>
      <c r="B20" s="76" t="s">
        <v>90</v>
      </c>
      <c r="C20" s="76" t="s">
        <v>91</v>
      </c>
      <c r="D20" s="76" t="s">
        <v>90</v>
      </c>
      <c r="E20" s="76" t="s">
        <v>91</v>
      </c>
      <c r="F20" s="76" t="s">
        <v>90</v>
      </c>
      <c r="G20" s="76" t="s">
        <v>91</v>
      </c>
      <c r="H20" s="76" t="s">
        <v>90</v>
      </c>
      <c r="I20" s="76" t="s">
        <v>91</v>
      </c>
      <c r="J20" s="76" t="s">
        <v>90</v>
      </c>
      <c r="K20" s="76" t="s">
        <v>91</v>
      </c>
      <c r="L20" s="77"/>
    </row>
    <row r="21">
      <c r="A21" s="64" t="s">
        <v>32</v>
      </c>
      <c r="B21" s="29">
        <f>COUNTIFS('1) - Data Entry'!$C$8:$C$1000,"F",'1) - Data Entry'!$D$8:$D$1000,"1")</f>
        <v>4</v>
      </c>
      <c r="C21" s="78">
        <f t="shared" ref="C21:C23" si="2">B21/$B$24</f>
        <v>0.5714285714</v>
      </c>
      <c r="D21" s="29">
        <f>COUNTIFS('1) - Data Entry'!$C$8:$C$1000,"F",'1) - Data Entry'!$D$8:$D$1000,"2")</f>
        <v>2</v>
      </c>
      <c r="E21" s="78">
        <f t="shared" ref="E21:E23" si="3">D21/$D$24</f>
        <v>0.6666666667</v>
      </c>
      <c r="F21" s="29">
        <f>COUNTIFS('1) - Data Entry'!$C$8:$C$1000,"F",'1) - Data Entry'!$D$8:$D$1000,"3")</f>
        <v>2</v>
      </c>
      <c r="G21" s="78">
        <f t="shared" ref="G21:G23" si="4">F21/$F$24</f>
        <v>0.4</v>
      </c>
      <c r="H21" s="29">
        <f>COUNTIFS('1) - Data Entry'!$C$8:$C$1000,"F",'1) - Data Entry'!$D$8:$D$1000,"4")</f>
        <v>1</v>
      </c>
      <c r="I21" s="78">
        <f t="shared" ref="I21:I23" si="5">H21/$H$24</f>
        <v>0.3333333333</v>
      </c>
      <c r="J21" s="29">
        <f>COUNTIFS('1) - Data Entry'!$C$8:$C$1000,"F",'1) - Data Entry'!$D$8:$D$1000,"5")</f>
        <v>1</v>
      </c>
      <c r="K21" s="78">
        <f t="shared" ref="K21:K23" si="6">J21/$H$24</f>
        <v>0.3333333333</v>
      </c>
    </row>
    <row r="22">
      <c r="A22" s="33" t="s">
        <v>34</v>
      </c>
      <c r="B22" s="29">
        <f>COUNTIFS('1) - Data Entry'!$C$8:$C$1000,"NB",'1) - Data Entry'!$D$8:$D$1000,"1")</f>
        <v>0</v>
      </c>
      <c r="C22" s="78">
        <f t="shared" si="2"/>
        <v>0</v>
      </c>
      <c r="D22" s="29">
        <f>COUNTIFS('1) - Data Entry'!$C$8:$C$1000,"NB",'1) - Data Entry'!$D$8:$D$1000,"2")</f>
        <v>0</v>
      </c>
      <c r="E22" s="78">
        <f t="shared" si="3"/>
        <v>0</v>
      </c>
      <c r="F22" s="29">
        <f>COUNTIFS('1) - Data Entry'!$C$8:$C$1000,"NB",'1) - Data Entry'!$D$8:$D$1000,"3")</f>
        <v>0</v>
      </c>
      <c r="G22" s="78">
        <f t="shared" si="4"/>
        <v>0</v>
      </c>
      <c r="H22" s="29">
        <f>COUNTIFS('1) - Data Entry'!$C$8:$C$1000,"NB",'1) - Data Entry'!$D$8:$D$1000,"4")</f>
        <v>0</v>
      </c>
      <c r="I22" s="78">
        <f t="shared" si="5"/>
        <v>0</v>
      </c>
      <c r="J22" s="29">
        <f>COUNTIFS('1) - Data Entry'!$C$8:$C$1000,"NB",'1) - Data Entry'!$D$8:$D$1000,"5")</f>
        <v>0</v>
      </c>
      <c r="K22" s="78">
        <f t="shared" si="6"/>
        <v>0</v>
      </c>
    </row>
    <row r="23">
      <c r="A23" s="64" t="s">
        <v>18</v>
      </c>
      <c r="B23" s="29">
        <f>COUNTIFS('1) - Data Entry'!$C$8:$C$1000,"M",'1) - Data Entry'!$D$8:$D$1000,"1")</f>
        <v>3</v>
      </c>
      <c r="C23" s="78">
        <f t="shared" si="2"/>
        <v>0.4285714286</v>
      </c>
      <c r="D23" s="29">
        <f>COUNTIFS('1) - Data Entry'!$C$8:$C$1000,"M",'1) - Data Entry'!$D$8:$D$1000,"2")</f>
        <v>1</v>
      </c>
      <c r="E23" s="78">
        <f t="shared" si="3"/>
        <v>0.3333333333</v>
      </c>
      <c r="F23" s="29">
        <f>COUNTIFS('1) - Data Entry'!$C$8:$C$1000,"M",'1) - Data Entry'!$D$8:$D$1000,"3")</f>
        <v>3</v>
      </c>
      <c r="G23" s="78">
        <f t="shared" si="4"/>
        <v>0.6</v>
      </c>
      <c r="H23" s="29">
        <f>COUNTIFS('1) - Data Entry'!$C$8:$C$1000,"M",'1) - Data Entry'!$D$8:$D$1000,"4")</f>
        <v>2</v>
      </c>
      <c r="I23" s="78">
        <f t="shared" si="5"/>
        <v>0.6666666667</v>
      </c>
      <c r="J23" s="29">
        <f>COUNTIFS('1) - Data Entry'!$C$8:$C$1000,"M",'1) - Data Entry'!$D$8:$D$1000,"5")</f>
        <v>2</v>
      </c>
      <c r="K23" s="78">
        <f t="shared" si="6"/>
        <v>0.6666666667</v>
      </c>
    </row>
    <row r="24">
      <c r="A24" s="67" t="s">
        <v>101</v>
      </c>
      <c r="B24" s="80">
        <f>sum(B21:B23)</f>
        <v>7</v>
      </c>
      <c r="C24" s="81">
        <f>B24/$B$12</f>
        <v>0.3333333333</v>
      </c>
      <c r="D24" s="80">
        <f>sum(D21:D23)</f>
        <v>3</v>
      </c>
      <c r="E24" s="81">
        <f>D24/$B$12</f>
        <v>0.1428571429</v>
      </c>
      <c r="F24" s="80">
        <f>sum(F21:F23)</f>
        <v>5</v>
      </c>
      <c r="G24" s="81">
        <f>F24/$B$12</f>
        <v>0.2380952381</v>
      </c>
      <c r="H24" s="80">
        <f>sum(H21:H23)</f>
        <v>3</v>
      </c>
      <c r="I24" s="81">
        <f>H24/$B$12</f>
        <v>0.1428571429</v>
      </c>
      <c r="J24" s="80">
        <f>sum(J21:J23)</f>
        <v>3</v>
      </c>
      <c r="K24" s="81">
        <f>J24/$B$12</f>
        <v>0.1428571429</v>
      </c>
    </row>
    <row r="25">
      <c r="B25" s="77"/>
      <c r="C25" s="77"/>
      <c r="D25" s="77"/>
      <c r="E25" s="77"/>
      <c r="F25" s="77"/>
      <c r="G25" s="77"/>
      <c r="H25" s="77"/>
      <c r="I25" s="77"/>
      <c r="J25" s="77"/>
      <c r="K25" s="77"/>
    </row>
    <row r="28">
      <c r="A28" s="43" t="s">
        <v>105</v>
      </c>
      <c r="B28" s="2"/>
      <c r="C28" s="2"/>
    </row>
    <row r="29">
      <c r="A29" s="10" t="s">
        <v>106</v>
      </c>
      <c r="B29" s="2"/>
      <c r="C29" s="2"/>
    </row>
    <row r="30">
      <c r="A30" s="83" t="s">
        <v>107</v>
      </c>
    </row>
    <row r="31">
      <c r="A31" s="10"/>
      <c r="B31" s="17"/>
      <c r="C31" s="17"/>
      <c r="D31" s="17"/>
      <c r="E31" s="17"/>
      <c r="F31" s="17"/>
      <c r="G31" s="84"/>
      <c r="H31" s="84"/>
      <c r="I31" s="84"/>
      <c r="J31" s="84"/>
      <c r="K31" s="84"/>
    </row>
    <row r="32">
      <c r="A32" s="39" t="s">
        <v>81</v>
      </c>
      <c r="B32" s="63" t="str">
        <f>Instructions!B17</f>
        <v>Other</v>
      </c>
      <c r="C32" s="63" t="str">
        <f>Instructions!B18</f>
        <v>Manager</v>
      </c>
      <c r="D32" s="63" t="str">
        <f>Instructions!B19</f>
        <v>Director</v>
      </c>
      <c r="E32" s="63" t="str">
        <f>Instructions!B20</f>
        <v>VP</v>
      </c>
      <c r="F32" s="63" t="str">
        <f>Instructions!B21</f>
        <v>Executive / C-Suite</v>
      </c>
      <c r="G32" s="84"/>
      <c r="H32" s="84"/>
      <c r="I32" s="84"/>
      <c r="J32" s="84"/>
      <c r="K32" s="84"/>
    </row>
    <row r="33">
      <c r="A33" s="64" t="s">
        <v>32</v>
      </c>
      <c r="B33" s="85">
        <f>AVERAGEIFS('1) - Data Entry'!$B$8:$B$1000,'1) - Data Entry'!$C$8:$C$1000,"F",'1) - Data Entry'!$D$8:$D$1000,"1")</f>
        <v>76875</v>
      </c>
      <c r="C33" s="85">
        <f>AVERAGEIFS('1) - Data Entry'!$B$8:$B$1000,'1) - Data Entry'!$C$8:$C$1000,"F",'1) - Data Entry'!$D$8:$D$1000,"2")</f>
        <v>115000</v>
      </c>
      <c r="D33" s="85">
        <f>AVERAGEIFS('1) - Data Entry'!$B$8:$B$1000,'1) - Data Entry'!$C$8:$C$1000,"F",'1) - Data Entry'!$D$8:$D$1000,"3")</f>
        <v>95000</v>
      </c>
      <c r="E33" s="85">
        <f>AVERAGEIFS('1) - Data Entry'!$B$8:$B$1000,'1) - Data Entry'!$C$8:$C$1000,"F",'1) - Data Entry'!$D$8:$D$1000,"4")</f>
        <v>200000</v>
      </c>
      <c r="F33" s="85">
        <f>AVERAGEIFS('1) - Data Entry'!$B$8:$B$1000,'1) - Data Entry'!$C$8:$C$1000,"F",'1) - Data Entry'!$D$8:$D$1000,"5")</f>
        <v>200000</v>
      </c>
      <c r="G33" s="86"/>
      <c r="H33" s="77"/>
      <c r="I33" s="86"/>
      <c r="J33" s="77"/>
      <c r="K33" s="86"/>
    </row>
    <row r="34">
      <c r="A34" s="33" t="s">
        <v>34</v>
      </c>
      <c r="B34" s="85">
        <f>AVERAGEIFS('1) - Data Entry'!$B$8:$B$1000,'1) - Data Entry'!$C$8:$C$1000,"TG / GV",'1) - Data Entry'!$D$8:$D$1000,"1")</f>
        <v>70000</v>
      </c>
      <c r="C34" s="85">
        <f>AVERAGEIFS('1) - Data Entry'!$B$8:$B$1000,'1) - Data Entry'!$C$8:$C$1000,"TG / GV",'1) - Data Entry'!$D$8:$D$1000,"2")</f>
        <v>125000</v>
      </c>
      <c r="D34" s="85" t="str">
        <f>AVERAGEIFS('1) - Data Entry'!$B$8:$B$1000,'1) - Data Entry'!$C$8:$C$1000,"TG / GV",'1) - Data Entry'!$D$8:$D$1000,"3")</f>
        <v>#DIV/0!</v>
      </c>
      <c r="E34" s="85" t="str">
        <f>AVERAGEIFS('1) - Data Entry'!$B$8:$B$1000,'1) - Data Entry'!$C$8:$C$1000,"TG / GV",'1) - Data Entry'!$D$8:$D$1000,"4")</f>
        <v>#DIV/0!</v>
      </c>
      <c r="F34" s="85" t="str">
        <f>AVERAGEIFS('1) - Data Entry'!$B$8:$B$1000,'1) - Data Entry'!$C$8:$C$1000,"TG / GV",'1) - Data Entry'!$D$8:$D$1000,"5")</f>
        <v>#DIV/0!</v>
      </c>
      <c r="G34" s="86"/>
      <c r="H34" s="77"/>
      <c r="I34" s="86"/>
      <c r="J34" s="77"/>
      <c r="K34" s="86"/>
    </row>
    <row r="35">
      <c r="A35" s="64" t="s">
        <v>18</v>
      </c>
      <c r="B35" s="85">
        <f>AVERAGEIFS('1) - Data Entry'!$B$8:$B$1000,'1) - Data Entry'!$C$8:$C$1000,"M",'1) - Data Entry'!$D$8:$D$1000,"1")</f>
        <v>58333.33333</v>
      </c>
      <c r="C35" s="85">
        <f>AVERAGEIFS('1) - Data Entry'!$B$8:$B$1000,'1) - Data Entry'!$C$8:$C$1000,"M",'1) - Data Entry'!$D$8:$D$1000,"2")</f>
        <v>140000</v>
      </c>
      <c r="D35" s="85">
        <f>AVERAGEIFS('1) - Data Entry'!$B$8:$B$1000,'1) - Data Entry'!$C$8:$C$1000,"M",'1) - Data Entry'!$D$8:$D$1000,"3")</f>
        <v>140000</v>
      </c>
      <c r="E35" s="85">
        <f>AVERAGEIFS('1) - Data Entry'!$B$8:$B$1000,'1) - Data Entry'!$C$8:$C$1000,"M",'1) - Data Entry'!$D$8:$D$1000,"4")</f>
        <v>170000</v>
      </c>
      <c r="F35" s="85">
        <f>AVERAGEIFS('1) - Data Entry'!$B$8:$B$1000,'1) - Data Entry'!$C$8:$C$1000,"M",'1) - Data Entry'!$D$8:$D$1000,"5")</f>
        <v>257500</v>
      </c>
      <c r="G35" s="86"/>
      <c r="H35" s="77"/>
      <c r="I35" s="86"/>
      <c r="J35" s="77"/>
      <c r="K35" s="86"/>
    </row>
    <row r="36">
      <c r="A36" s="67" t="s">
        <v>108</v>
      </c>
      <c r="B36" s="87">
        <f>AVERAGEIF('1) - Data Entry'!$D$8:$D$1000,"1",'1) - Data Entry'!$B$8:$B$1000)</f>
        <v>69062.5</v>
      </c>
      <c r="C36" s="87">
        <f>AVERAGEIF('1) - Data Entry'!$D$8:$D$1000,"2",'1) - Data Entry'!$B$8:$B$1000)</f>
        <v>123750</v>
      </c>
      <c r="D36" s="87">
        <f>AVERAGEIF('1) - Data Entry'!$D$8:$D$1000,"3",'1) - Data Entry'!$B$8:$B$1000)</f>
        <v>122000</v>
      </c>
      <c r="E36" s="87">
        <f>AVERAGEIF('1) - Data Entry'!$D$8:$D$1000,"4",'1) - Data Entry'!$B$8:$B$1000)</f>
        <v>180000</v>
      </c>
      <c r="F36" s="87">
        <f>AVERAGEIF('1) - Data Entry'!$D$8:$D$1000,"5",'1) - Data Entry'!$B$8:$B$1000)</f>
        <v>238333.3333</v>
      </c>
      <c r="G36" s="88"/>
      <c r="H36" s="89"/>
      <c r="I36" s="88"/>
      <c r="J36" s="89"/>
      <c r="K36" s="88"/>
    </row>
  </sheetData>
  <mergeCells count="7">
    <mergeCell ref="A16:C17"/>
    <mergeCell ref="A19:A20"/>
    <mergeCell ref="B19:C19"/>
    <mergeCell ref="D19:E19"/>
    <mergeCell ref="F19:G19"/>
    <mergeCell ref="H19:I19"/>
    <mergeCell ref="J19:K19"/>
  </mergeCells>
  <conditionalFormatting sqref="B28:B29">
    <cfRule type="cellIs" dxfId="0" priority="1" operator="equal">
      <formula>"GN"</formula>
    </cfRule>
  </conditionalFormatting>
  <conditionalFormatting sqref="A9:A11 A21:A23 B28:B29 A33:A35">
    <cfRule type="cellIs" dxfId="1" priority="2" operator="equal">
      <formula>"F"</formula>
    </cfRule>
  </conditionalFormatting>
  <conditionalFormatting sqref="A9:A11 A21:A23 A33:A35">
    <cfRule type="cellIs" dxfId="0" priority="3" operator="equal">
      <formula>"TG / GV"</formula>
    </cfRule>
  </conditionalFormatting>
  <conditionalFormatting sqref="A9:A11 A21:A23 B28:B29 A33:A35">
    <cfRule type="cellIs" dxfId="2" priority="4" operator="equal">
      <formula>"M"</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66666"/>
    <outlinePr summaryBelow="0" summaryRight="0"/>
  </sheetPr>
  <sheetViews>
    <sheetView showGridLines="0" workbookViewId="0"/>
  </sheetViews>
  <sheetFormatPr customHeight="1" defaultColWidth="14.43" defaultRowHeight="15.75"/>
  <cols>
    <col customWidth="1" min="1" max="1" width="31.43"/>
    <col customWidth="1" min="2" max="2" width="22.86"/>
    <col customWidth="1" min="3" max="3" width="24.14"/>
    <col customWidth="1" min="4" max="5" width="22.57"/>
    <col customWidth="1" min="6" max="7" width="24.14"/>
    <col customWidth="1" min="8" max="8" width="19.43"/>
  </cols>
  <sheetData>
    <row r="1">
      <c r="A1" s="59" t="str">
        <f>'1) - Data Entry'!A1</f>
        <v>[Insert Company Name Here]</v>
      </c>
      <c r="B1" s="2"/>
      <c r="C1" s="2"/>
      <c r="D1" s="2"/>
      <c r="E1" s="2"/>
      <c r="F1" s="2"/>
      <c r="G1" s="2"/>
      <c r="H1" s="2"/>
      <c r="I1" s="2"/>
      <c r="J1" s="2"/>
      <c r="K1" s="2"/>
      <c r="L1" s="2"/>
      <c r="M1" s="2"/>
      <c r="N1" s="2"/>
      <c r="O1" s="2"/>
      <c r="P1" s="2"/>
      <c r="Q1" s="2"/>
      <c r="R1" s="2"/>
      <c r="S1" s="2"/>
      <c r="T1" s="2"/>
      <c r="U1" s="2"/>
      <c r="V1" s="2"/>
      <c r="W1" s="2"/>
      <c r="X1" s="2"/>
      <c r="Y1" s="2"/>
      <c r="Z1" s="2"/>
    </row>
    <row r="2">
      <c r="A2" s="61" t="s">
        <v>80</v>
      </c>
      <c r="B2" s="2"/>
      <c r="C2" s="2"/>
      <c r="D2" s="2"/>
      <c r="E2" s="2"/>
      <c r="F2" s="2"/>
      <c r="G2" s="2"/>
      <c r="H2" s="2"/>
      <c r="I2" s="2"/>
      <c r="J2" s="2"/>
      <c r="K2" s="2"/>
      <c r="L2" s="2"/>
      <c r="M2" s="2"/>
      <c r="N2" s="2"/>
      <c r="O2" s="2"/>
      <c r="P2" s="2"/>
      <c r="Q2" s="2"/>
      <c r="R2" s="2"/>
      <c r="S2" s="2"/>
      <c r="T2" s="2"/>
      <c r="U2" s="2"/>
      <c r="V2" s="2"/>
      <c r="W2" s="2"/>
      <c r="X2" s="2"/>
      <c r="Y2" s="2"/>
      <c r="Z2" s="2"/>
    </row>
    <row r="3">
      <c r="A3" s="61" t="s">
        <v>82</v>
      </c>
      <c r="B3" s="2"/>
      <c r="C3" s="2"/>
      <c r="D3" s="2"/>
      <c r="E3" s="2"/>
      <c r="F3" s="2"/>
      <c r="G3" s="2"/>
      <c r="H3" s="2"/>
      <c r="I3" s="2"/>
      <c r="J3" s="2"/>
      <c r="K3" s="2"/>
      <c r="L3" s="2"/>
      <c r="M3" s="2"/>
      <c r="N3" s="2"/>
      <c r="O3" s="2"/>
      <c r="P3" s="2"/>
      <c r="Q3" s="2"/>
      <c r="R3" s="2"/>
      <c r="S3" s="2"/>
      <c r="T3" s="2"/>
      <c r="U3" s="2"/>
      <c r="V3" s="2"/>
      <c r="W3" s="2"/>
      <c r="X3" s="2"/>
      <c r="Y3" s="2"/>
      <c r="Z3" s="2"/>
    </row>
    <row r="4">
      <c r="A4" s="2"/>
      <c r="B4" s="2"/>
      <c r="C4" s="2"/>
      <c r="D4" s="2"/>
      <c r="E4" s="2"/>
      <c r="F4" s="2"/>
      <c r="G4" s="2"/>
      <c r="H4" s="2"/>
      <c r="I4" s="2"/>
      <c r="J4" s="2"/>
      <c r="K4" s="2"/>
      <c r="L4" s="2"/>
      <c r="M4" s="2"/>
      <c r="N4" s="2"/>
      <c r="O4" s="2"/>
      <c r="P4" s="2"/>
      <c r="Q4" s="2"/>
      <c r="R4" s="2"/>
      <c r="S4" s="2"/>
      <c r="T4" s="2"/>
      <c r="U4" s="2"/>
      <c r="V4" s="2"/>
      <c r="W4" s="2"/>
      <c r="X4" s="2"/>
      <c r="Y4" s="2"/>
      <c r="Z4" s="2"/>
    </row>
    <row r="5">
      <c r="A5" s="43" t="s">
        <v>85</v>
      </c>
      <c r="B5" s="2"/>
      <c r="C5" s="2"/>
      <c r="D5" s="2"/>
      <c r="E5" s="2"/>
      <c r="F5" s="2"/>
      <c r="G5" s="2"/>
      <c r="H5" s="2"/>
      <c r="I5" s="2"/>
      <c r="J5" s="2"/>
      <c r="K5" s="2"/>
      <c r="L5" s="2"/>
      <c r="M5" s="2"/>
      <c r="N5" s="2"/>
      <c r="O5" s="2"/>
      <c r="P5" s="2"/>
      <c r="Q5" s="2"/>
      <c r="R5" s="2"/>
      <c r="S5" s="2"/>
      <c r="T5" s="2"/>
      <c r="U5" s="2"/>
      <c r="V5" s="2"/>
      <c r="W5" s="2"/>
      <c r="X5" s="2"/>
      <c r="Y5" s="2"/>
      <c r="Z5" s="2"/>
    </row>
    <row r="6">
      <c r="A6" s="60" t="s">
        <v>86</v>
      </c>
      <c r="B6" s="65"/>
      <c r="C6" s="65"/>
      <c r="D6" s="2"/>
      <c r="E6" s="2"/>
      <c r="F6" s="2"/>
      <c r="G6" s="2"/>
      <c r="H6" s="2"/>
      <c r="I6" s="2"/>
      <c r="J6" s="2"/>
      <c r="K6" s="2"/>
      <c r="L6" s="2"/>
      <c r="M6" s="2"/>
      <c r="N6" s="2"/>
      <c r="O6" s="2"/>
      <c r="P6" s="2"/>
      <c r="Q6" s="2"/>
      <c r="R6" s="2"/>
      <c r="S6" s="2"/>
      <c r="T6" s="2"/>
      <c r="U6" s="2"/>
      <c r="V6" s="2"/>
      <c r="W6" s="2"/>
      <c r="X6" s="2"/>
      <c r="Y6" s="2"/>
      <c r="Z6" s="2"/>
    </row>
    <row r="7">
      <c r="A7" s="65"/>
      <c r="B7" s="65"/>
      <c r="C7" s="65"/>
      <c r="D7" s="2"/>
      <c r="E7" s="2"/>
      <c r="F7" s="2"/>
      <c r="G7" s="2"/>
      <c r="H7" s="2"/>
      <c r="I7" s="2"/>
      <c r="J7" s="2"/>
      <c r="K7" s="2"/>
      <c r="L7" s="2"/>
      <c r="M7" s="2"/>
      <c r="N7" s="2"/>
      <c r="O7" s="2"/>
      <c r="P7" s="2"/>
      <c r="Q7" s="2"/>
      <c r="R7" s="2"/>
      <c r="S7" s="2"/>
      <c r="T7" s="2"/>
      <c r="U7" s="2"/>
      <c r="V7" s="2"/>
      <c r="W7" s="2"/>
      <c r="X7" s="2"/>
      <c r="Y7" s="2"/>
      <c r="Z7" s="2"/>
    </row>
    <row r="8">
      <c r="A8" s="2"/>
      <c r="B8" s="2"/>
      <c r="C8" s="2"/>
      <c r="D8" s="2"/>
      <c r="E8" s="2"/>
      <c r="F8" s="2"/>
      <c r="G8" s="2"/>
      <c r="H8" s="2"/>
      <c r="I8" s="2"/>
      <c r="J8" s="2"/>
      <c r="K8" s="2"/>
      <c r="L8" s="2"/>
      <c r="M8" s="2"/>
      <c r="N8" s="2"/>
      <c r="O8" s="2"/>
      <c r="P8" s="2"/>
      <c r="Q8" s="2"/>
      <c r="R8" s="2"/>
      <c r="S8" s="2"/>
      <c r="T8" s="2"/>
      <c r="U8" s="2"/>
      <c r="V8" s="2"/>
      <c r="W8" s="2"/>
      <c r="X8" s="2"/>
      <c r="Y8" s="2"/>
      <c r="Z8" s="2"/>
    </row>
    <row r="9">
      <c r="A9" s="79" t="s">
        <v>26</v>
      </c>
      <c r="B9" s="79" t="s">
        <v>25</v>
      </c>
      <c r="C9" s="2" t="s">
        <v>92</v>
      </c>
      <c r="D9" s="2" t="s">
        <v>93</v>
      </c>
      <c r="E9" s="2" t="s">
        <v>94</v>
      </c>
      <c r="F9" s="2" t="s">
        <v>95</v>
      </c>
      <c r="G9" s="2" t="s">
        <v>96</v>
      </c>
      <c r="H9" s="2" t="s">
        <v>97</v>
      </c>
      <c r="I9" s="2"/>
      <c r="J9" s="2"/>
      <c r="K9" s="2"/>
      <c r="L9" s="2"/>
      <c r="M9" s="2"/>
      <c r="N9" s="2"/>
      <c r="O9" s="2"/>
      <c r="P9" s="2"/>
      <c r="Q9" s="2"/>
      <c r="R9" s="2"/>
      <c r="S9" s="2"/>
      <c r="T9" s="2"/>
      <c r="U9" s="2"/>
      <c r="V9" s="2"/>
      <c r="W9" s="2"/>
      <c r="X9" s="2"/>
      <c r="Y9" s="2"/>
      <c r="Z9" s="2"/>
    </row>
    <row r="10">
      <c r="A10" s="2">
        <v>1.0</v>
      </c>
      <c r="B10" s="2" t="s">
        <v>32</v>
      </c>
      <c r="C10" s="77">
        <v>4.0</v>
      </c>
      <c r="D10" s="48">
        <v>76875.0</v>
      </c>
      <c r="E10" s="48">
        <v>32500.0</v>
      </c>
      <c r="F10" s="48">
        <v>87500.0</v>
      </c>
      <c r="G10" s="48">
        <v>100000.0</v>
      </c>
      <c r="H10" s="48">
        <v>307500.0</v>
      </c>
      <c r="I10" s="2"/>
      <c r="J10" s="2"/>
      <c r="K10" s="2"/>
      <c r="L10" s="2"/>
      <c r="M10" s="2"/>
      <c r="N10" s="2"/>
      <c r="O10" s="2"/>
      <c r="P10" s="2"/>
      <c r="Q10" s="2"/>
      <c r="R10" s="2"/>
      <c r="S10" s="2"/>
      <c r="T10" s="2"/>
      <c r="U10" s="2"/>
      <c r="V10" s="2"/>
      <c r="W10" s="2"/>
      <c r="X10" s="2"/>
      <c r="Y10" s="2"/>
      <c r="Z10" s="2"/>
    </row>
    <row r="11">
      <c r="A11" s="2"/>
      <c r="B11" s="2" t="s">
        <v>18</v>
      </c>
      <c r="C11" s="77">
        <v>3.0</v>
      </c>
      <c r="D11" s="48">
        <v>58333.333333333336</v>
      </c>
      <c r="E11" s="48">
        <v>40000.0</v>
      </c>
      <c r="F11" s="48">
        <v>50000.0</v>
      </c>
      <c r="G11" s="48">
        <v>85000.0</v>
      </c>
      <c r="H11" s="48">
        <v>175000.0</v>
      </c>
      <c r="I11" s="2"/>
      <c r="J11" s="2"/>
      <c r="K11" s="2"/>
      <c r="L11" s="2"/>
      <c r="M11" s="2"/>
      <c r="N11" s="2"/>
      <c r="O11" s="2"/>
      <c r="P11" s="2"/>
      <c r="Q11" s="2"/>
      <c r="R11" s="2"/>
      <c r="S11" s="2"/>
      <c r="T11" s="2"/>
      <c r="U11" s="2"/>
      <c r="V11" s="2"/>
      <c r="W11" s="2"/>
      <c r="X11" s="2"/>
      <c r="Y11" s="2"/>
      <c r="Z11" s="2"/>
    </row>
    <row r="12">
      <c r="A12" s="2"/>
      <c r="B12" s="2" t="s">
        <v>34</v>
      </c>
      <c r="C12" s="77">
        <v>1.0</v>
      </c>
      <c r="D12" s="48">
        <v>70000.0</v>
      </c>
      <c r="E12" s="48">
        <v>70000.0</v>
      </c>
      <c r="F12" s="48">
        <v>70000.0</v>
      </c>
      <c r="G12" s="48">
        <v>70000.0</v>
      </c>
      <c r="H12" s="48">
        <v>70000.0</v>
      </c>
      <c r="I12" s="2"/>
      <c r="J12" s="2"/>
      <c r="K12" s="2"/>
      <c r="L12" s="2"/>
      <c r="M12" s="2"/>
      <c r="N12" s="2"/>
      <c r="O12" s="2"/>
      <c r="P12" s="2"/>
      <c r="Q12" s="2"/>
      <c r="R12" s="2"/>
      <c r="S12" s="2"/>
      <c r="T12" s="2"/>
      <c r="U12" s="2"/>
      <c r="V12" s="2"/>
      <c r="W12" s="2"/>
      <c r="X12" s="2"/>
      <c r="Y12" s="2"/>
      <c r="Z12" s="2"/>
    </row>
    <row r="13">
      <c r="A13" s="2" t="s">
        <v>98</v>
      </c>
      <c r="B13" s="2"/>
      <c r="C13" s="77">
        <v>8.0</v>
      </c>
      <c r="D13" s="48">
        <v>69062.5</v>
      </c>
      <c r="E13" s="48">
        <v>32500.0</v>
      </c>
      <c r="F13" s="48">
        <v>75000.0</v>
      </c>
      <c r="G13" s="48">
        <v>100000.0</v>
      </c>
      <c r="H13" s="48">
        <v>552500.0</v>
      </c>
      <c r="I13" s="2"/>
      <c r="J13" s="2"/>
      <c r="K13" s="2"/>
      <c r="L13" s="2"/>
      <c r="M13" s="2"/>
      <c r="N13" s="2"/>
      <c r="O13" s="2"/>
      <c r="P13" s="2"/>
      <c r="Q13" s="2"/>
      <c r="R13" s="2"/>
      <c r="S13" s="2"/>
      <c r="T13" s="2"/>
      <c r="U13" s="2"/>
      <c r="V13" s="2"/>
      <c r="W13" s="2"/>
      <c r="X13" s="2"/>
      <c r="Y13" s="2"/>
      <c r="Z13" s="2"/>
    </row>
    <row r="14">
      <c r="A14" s="2">
        <v>2.0</v>
      </c>
      <c r="B14" s="2" t="s">
        <v>32</v>
      </c>
      <c r="C14" s="77">
        <v>2.0</v>
      </c>
      <c r="D14" s="48">
        <v>115000.0</v>
      </c>
      <c r="E14" s="48">
        <v>110000.0</v>
      </c>
      <c r="F14" s="48">
        <v>115000.0</v>
      </c>
      <c r="G14" s="48">
        <v>120000.0</v>
      </c>
      <c r="H14" s="48">
        <v>230000.0</v>
      </c>
      <c r="I14" s="2"/>
      <c r="J14" s="2"/>
      <c r="K14" s="2"/>
      <c r="L14" s="2"/>
      <c r="M14" s="2"/>
      <c r="N14" s="2"/>
      <c r="O14" s="2"/>
      <c r="P14" s="2"/>
      <c r="Q14" s="2"/>
      <c r="R14" s="2"/>
      <c r="S14" s="2"/>
      <c r="T14" s="2"/>
      <c r="U14" s="2"/>
      <c r="V14" s="2"/>
      <c r="W14" s="2"/>
      <c r="X14" s="2"/>
      <c r="Y14" s="2"/>
      <c r="Z14" s="2"/>
    </row>
    <row r="15">
      <c r="A15" s="2"/>
      <c r="B15" s="2" t="s">
        <v>18</v>
      </c>
      <c r="C15" s="77">
        <v>1.0</v>
      </c>
      <c r="D15" s="48">
        <v>140000.0</v>
      </c>
      <c r="E15" s="48">
        <v>140000.0</v>
      </c>
      <c r="F15" s="48">
        <v>140000.0</v>
      </c>
      <c r="G15" s="48">
        <v>140000.0</v>
      </c>
      <c r="H15" s="48">
        <v>140000.0</v>
      </c>
      <c r="I15" s="2"/>
      <c r="J15" s="2"/>
      <c r="K15" s="2"/>
      <c r="L15" s="2"/>
      <c r="M15" s="2"/>
      <c r="N15" s="2"/>
      <c r="O15" s="2"/>
      <c r="P15" s="2"/>
      <c r="Q15" s="2"/>
      <c r="R15" s="2"/>
      <c r="S15" s="2"/>
      <c r="T15" s="2"/>
      <c r="U15" s="2"/>
      <c r="V15" s="2"/>
      <c r="W15" s="2"/>
      <c r="X15" s="2"/>
      <c r="Y15" s="2"/>
      <c r="Z15" s="2"/>
    </row>
    <row r="16">
      <c r="A16" s="2"/>
      <c r="B16" s="2" t="s">
        <v>34</v>
      </c>
      <c r="C16" s="77">
        <v>1.0</v>
      </c>
      <c r="D16" s="48">
        <v>125000.0</v>
      </c>
      <c r="E16" s="48">
        <v>125000.0</v>
      </c>
      <c r="F16" s="48">
        <v>125000.0</v>
      </c>
      <c r="G16" s="48">
        <v>125000.0</v>
      </c>
      <c r="H16" s="48">
        <v>125000.0</v>
      </c>
      <c r="I16" s="2"/>
      <c r="J16" s="2"/>
      <c r="K16" s="2"/>
      <c r="L16" s="2"/>
      <c r="M16" s="2"/>
      <c r="N16" s="2"/>
      <c r="O16" s="2"/>
      <c r="P16" s="2"/>
      <c r="Q16" s="2"/>
      <c r="R16" s="2"/>
      <c r="S16" s="2"/>
      <c r="T16" s="2"/>
      <c r="U16" s="2"/>
      <c r="V16" s="2"/>
      <c r="W16" s="2"/>
      <c r="X16" s="2"/>
      <c r="Y16" s="2"/>
      <c r="Z16" s="2"/>
    </row>
    <row r="17">
      <c r="A17" s="2" t="s">
        <v>99</v>
      </c>
      <c r="B17" s="2"/>
      <c r="C17" s="77">
        <v>4.0</v>
      </c>
      <c r="D17" s="48">
        <v>123750.0</v>
      </c>
      <c r="E17" s="48">
        <v>110000.0</v>
      </c>
      <c r="F17" s="48">
        <v>122500.0</v>
      </c>
      <c r="G17" s="48">
        <v>140000.0</v>
      </c>
      <c r="H17" s="48">
        <v>495000.0</v>
      </c>
      <c r="I17" s="2"/>
      <c r="J17" s="2"/>
      <c r="K17" s="2"/>
      <c r="L17" s="2"/>
      <c r="M17" s="2"/>
      <c r="N17" s="2"/>
      <c r="O17" s="2"/>
      <c r="P17" s="2"/>
      <c r="Q17" s="2"/>
      <c r="R17" s="2"/>
      <c r="S17" s="2"/>
      <c r="T17" s="2"/>
      <c r="U17" s="2"/>
      <c r="V17" s="2"/>
      <c r="W17" s="2"/>
      <c r="X17" s="2"/>
      <c r="Y17" s="2"/>
      <c r="Z17" s="2"/>
    </row>
    <row r="18">
      <c r="A18" s="2">
        <v>3.0</v>
      </c>
      <c r="B18" s="2" t="s">
        <v>32</v>
      </c>
      <c r="C18" s="77">
        <v>2.0</v>
      </c>
      <c r="D18" s="48">
        <v>95000.0</v>
      </c>
      <c r="E18" s="48">
        <v>90000.0</v>
      </c>
      <c r="F18" s="48">
        <v>95000.0</v>
      </c>
      <c r="G18" s="48">
        <v>100000.0</v>
      </c>
      <c r="H18" s="48">
        <v>190000.0</v>
      </c>
      <c r="I18" s="2"/>
      <c r="J18" s="2"/>
      <c r="K18" s="2"/>
      <c r="L18" s="2"/>
      <c r="M18" s="2"/>
      <c r="N18" s="2"/>
      <c r="O18" s="2"/>
      <c r="P18" s="2"/>
      <c r="Q18" s="2"/>
      <c r="R18" s="2"/>
      <c r="S18" s="2"/>
      <c r="T18" s="2"/>
      <c r="U18" s="2"/>
      <c r="V18" s="2"/>
      <c r="W18" s="2"/>
      <c r="X18" s="2"/>
      <c r="Y18" s="2"/>
      <c r="Z18" s="2"/>
    </row>
    <row r="19">
      <c r="A19" s="2"/>
      <c r="B19" s="2" t="s">
        <v>18</v>
      </c>
      <c r="C19" s="77">
        <v>3.0</v>
      </c>
      <c r="D19" s="48">
        <v>140000.0</v>
      </c>
      <c r="E19" s="48">
        <v>130000.0</v>
      </c>
      <c r="F19" s="48">
        <v>140000.0</v>
      </c>
      <c r="G19" s="48">
        <v>150000.0</v>
      </c>
      <c r="H19" s="48">
        <v>420000.0</v>
      </c>
      <c r="I19" s="2"/>
      <c r="J19" s="2"/>
      <c r="K19" s="2"/>
      <c r="L19" s="2"/>
      <c r="M19" s="2"/>
      <c r="N19" s="2"/>
      <c r="O19" s="2"/>
      <c r="P19" s="2"/>
      <c r="Q19" s="2"/>
      <c r="R19" s="2"/>
      <c r="S19" s="2"/>
      <c r="T19" s="2"/>
      <c r="U19" s="2"/>
      <c r="V19" s="2"/>
      <c r="W19" s="2"/>
      <c r="X19" s="2"/>
      <c r="Y19" s="2"/>
      <c r="Z19" s="2"/>
    </row>
    <row r="20">
      <c r="A20" s="2" t="s">
        <v>100</v>
      </c>
      <c r="B20" s="2"/>
      <c r="C20" s="77">
        <v>5.0</v>
      </c>
      <c r="D20" s="48">
        <v>122000.0</v>
      </c>
      <c r="E20" s="48">
        <v>90000.0</v>
      </c>
      <c r="F20" s="48">
        <v>130000.0</v>
      </c>
      <c r="G20" s="48">
        <v>150000.0</v>
      </c>
      <c r="H20" s="48">
        <v>610000.0</v>
      </c>
      <c r="I20" s="2"/>
      <c r="J20" s="2"/>
      <c r="K20" s="2"/>
      <c r="L20" s="2"/>
      <c r="M20" s="2"/>
      <c r="N20" s="2"/>
      <c r="O20" s="2"/>
      <c r="P20" s="2"/>
      <c r="Q20" s="2"/>
      <c r="R20" s="2"/>
      <c r="S20" s="2"/>
      <c r="T20" s="2"/>
      <c r="U20" s="2"/>
      <c r="V20" s="2"/>
      <c r="W20" s="2"/>
      <c r="X20" s="2"/>
      <c r="Y20" s="2"/>
      <c r="Z20" s="2"/>
    </row>
    <row r="21">
      <c r="A21" s="2">
        <v>4.0</v>
      </c>
      <c r="B21" s="2" t="s">
        <v>32</v>
      </c>
      <c r="C21" s="77">
        <v>1.0</v>
      </c>
      <c r="D21" s="48">
        <v>200000.0</v>
      </c>
      <c r="E21" s="48">
        <v>200000.0</v>
      </c>
      <c r="F21" s="48">
        <v>200000.0</v>
      </c>
      <c r="G21" s="48">
        <v>200000.0</v>
      </c>
      <c r="H21" s="48">
        <v>200000.0</v>
      </c>
      <c r="I21" s="2"/>
      <c r="J21" s="2"/>
      <c r="K21" s="2"/>
      <c r="L21" s="2"/>
      <c r="M21" s="2"/>
      <c r="N21" s="2"/>
      <c r="O21" s="2"/>
      <c r="P21" s="2"/>
      <c r="Q21" s="2"/>
      <c r="R21" s="2"/>
      <c r="S21" s="2"/>
      <c r="T21" s="2"/>
      <c r="U21" s="2"/>
      <c r="V21" s="2"/>
      <c r="W21" s="2"/>
      <c r="X21" s="2"/>
      <c r="Y21" s="2"/>
      <c r="Z21" s="2"/>
    </row>
    <row r="22">
      <c r="A22" s="2"/>
      <c r="B22" s="2" t="s">
        <v>18</v>
      </c>
      <c r="C22" s="77">
        <v>2.0</v>
      </c>
      <c r="D22" s="48">
        <v>170000.0</v>
      </c>
      <c r="E22" s="48">
        <v>150000.0</v>
      </c>
      <c r="F22" s="48">
        <v>170000.0</v>
      </c>
      <c r="G22" s="48">
        <v>190000.0</v>
      </c>
      <c r="H22" s="48">
        <v>340000.0</v>
      </c>
      <c r="I22" s="2"/>
      <c r="J22" s="2"/>
      <c r="K22" s="2"/>
      <c r="L22" s="2"/>
      <c r="M22" s="2"/>
      <c r="N22" s="2"/>
      <c r="O22" s="2"/>
      <c r="P22" s="2"/>
      <c r="Q22" s="2"/>
      <c r="R22" s="2"/>
      <c r="S22" s="2"/>
      <c r="T22" s="2"/>
      <c r="U22" s="2"/>
      <c r="V22" s="2"/>
      <c r="W22" s="2"/>
      <c r="X22" s="2"/>
      <c r="Y22" s="2"/>
      <c r="Z22" s="2"/>
    </row>
    <row r="23">
      <c r="A23" s="2" t="s">
        <v>102</v>
      </c>
      <c r="B23" s="2"/>
      <c r="C23" s="77">
        <v>3.0</v>
      </c>
      <c r="D23" s="48">
        <v>180000.0</v>
      </c>
      <c r="E23" s="48">
        <v>150000.0</v>
      </c>
      <c r="F23" s="48">
        <v>190000.0</v>
      </c>
      <c r="G23" s="48">
        <v>200000.0</v>
      </c>
      <c r="H23" s="48">
        <v>540000.0</v>
      </c>
      <c r="I23" s="2"/>
      <c r="J23" s="2"/>
      <c r="K23" s="2"/>
      <c r="L23" s="2"/>
      <c r="M23" s="2"/>
      <c r="N23" s="2"/>
      <c r="O23" s="2"/>
      <c r="P23" s="2"/>
      <c r="Q23" s="2"/>
      <c r="R23" s="2"/>
      <c r="S23" s="2"/>
      <c r="T23" s="2"/>
      <c r="U23" s="2"/>
      <c r="V23" s="2"/>
      <c r="W23" s="2"/>
      <c r="X23" s="2"/>
      <c r="Y23" s="2"/>
      <c r="Z23" s="2"/>
    </row>
    <row r="24">
      <c r="A24" s="2">
        <v>5.0</v>
      </c>
      <c r="B24" s="2" t="s">
        <v>32</v>
      </c>
      <c r="C24" s="77">
        <v>1.0</v>
      </c>
      <c r="D24" s="48">
        <v>200000.0</v>
      </c>
      <c r="E24" s="48">
        <v>200000.0</v>
      </c>
      <c r="F24" s="48">
        <v>200000.0</v>
      </c>
      <c r="G24" s="48">
        <v>200000.0</v>
      </c>
      <c r="H24" s="48">
        <v>200000.0</v>
      </c>
      <c r="I24" s="2"/>
      <c r="J24" s="2"/>
      <c r="K24" s="2"/>
      <c r="L24" s="2"/>
      <c r="M24" s="2"/>
      <c r="N24" s="2"/>
      <c r="O24" s="2"/>
      <c r="P24" s="2"/>
      <c r="Q24" s="2"/>
      <c r="R24" s="2"/>
      <c r="S24" s="2"/>
      <c r="T24" s="2"/>
      <c r="U24" s="2"/>
      <c r="V24" s="2"/>
      <c r="W24" s="2"/>
      <c r="X24" s="2"/>
      <c r="Y24" s="2"/>
      <c r="Z24" s="2"/>
    </row>
    <row r="25">
      <c r="A25" s="2"/>
      <c r="B25" s="2" t="s">
        <v>18</v>
      </c>
      <c r="C25" s="77">
        <v>2.0</v>
      </c>
      <c r="D25" s="48">
        <v>257500.0</v>
      </c>
      <c r="E25" s="48">
        <v>240000.0</v>
      </c>
      <c r="F25" s="48">
        <v>257500.0</v>
      </c>
      <c r="G25" s="48">
        <v>275000.0</v>
      </c>
      <c r="H25" s="48">
        <v>515000.0</v>
      </c>
      <c r="I25" s="2"/>
      <c r="J25" s="2"/>
      <c r="K25" s="2"/>
      <c r="L25" s="2"/>
      <c r="M25" s="2"/>
      <c r="N25" s="2"/>
      <c r="O25" s="2"/>
      <c r="P25" s="2"/>
      <c r="Q25" s="2"/>
      <c r="R25" s="2"/>
      <c r="S25" s="2"/>
      <c r="T25" s="2"/>
      <c r="U25" s="2"/>
      <c r="V25" s="2"/>
      <c r="W25" s="2"/>
      <c r="X25" s="2"/>
      <c r="Y25" s="2"/>
      <c r="Z25" s="2"/>
    </row>
    <row r="26">
      <c r="A26" s="2" t="s">
        <v>103</v>
      </c>
      <c r="B26" s="2"/>
      <c r="C26" s="77">
        <v>3.0</v>
      </c>
      <c r="D26" s="48">
        <v>238333.33333333334</v>
      </c>
      <c r="E26" s="48">
        <v>200000.0</v>
      </c>
      <c r="F26" s="48">
        <v>240000.0</v>
      </c>
      <c r="G26" s="48">
        <v>275000.0</v>
      </c>
      <c r="H26" s="48">
        <v>715000.0</v>
      </c>
      <c r="I26" s="2"/>
      <c r="J26" s="2"/>
      <c r="K26" s="2"/>
      <c r="L26" s="2"/>
      <c r="M26" s="2"/>
      <c r="N26" s="2"/>
      <c r="O26" s="2"/>
      <c r="P26" s="2"/>
      <c r="Q26" s="2"/>
      <c r="R26" s="2"/>
      <c r="S26" s="2"/>
      <c r="T26" s="2"/>
      <c r="U26" s="2"/>
      <c r="V26" s="2"/>
      <c r="W26" s="2"/>
      <c r="X26" s="2"/>
      <c r="Y26" s="2"/>
      <c r="Z26" s="2"/>
    </row>
    <row r="27">
      <c r="A27" s="2" t="s">
        <v>104</v>
      </c>
      <c r="B27" s="2"/>
      <c r="C27" s="77">
        <v>23.0</v>
      </c>
      <c r="D27" s="82">
        <v>126630.43478260869</v>
      </c>
      <c r="E27" s="48">
        <v>32500.0</v>
      </c>
      <c r="F27" s="48">
        <v>120000.0</v>
      </c>
      <c r="G27" s="48">
        <v>275000.0</v>
      </c>
      <c r="H27" s="48">
        <v>2912500.0</v>
      </c>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sheetData>
  <conditionalFormatting sqref="B8:B26">
    <cfRule type="cellIs" dxfId="1" priority="1" operator="equal">
      <formula>"F"</formula>
    </cfRule>
  </conditionalFormatting>
  <conditionalFormatting sqref="B8:B26">
    <cfRule type="cellIs" dxfId="0" priority="2" operator="equal">
      <formula>"TG / GV"</formula>
    </cfRule>
  </conditionalFormatting>
  <conditionalFormatting sqref="B8:B26">
    <cfRule type="cellIs" dxfId="2" priority="3" operator="equal">
      <formula>"M"</formula>
    </cfRule>
  </conditionalFormatting>
  <drawing r:id="rId1"/>
</worksheet>
</file>